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ter 1 GMSMEA" sheetId="1" r:id="rId4"/>
    <sheet state="visible" name="Center 2 SFEA" sheetId="2" r:id="rId5"/>
    <sheet state="visible" name="Center 3 RBTV" sheetId="3" r:id="rId6"/>
    <sheet state="visible" name="Center 4 RTCR" sheetId="4" r:id="rId7"/>
    <sheet state="visible" name="Center 5 MT" sheetId="5" r:id="rId8"/>
    <sheet state="visible" name="Center 6 OAEA" sheetId="6" r:id="rId9"/>
    <sheet state="visible" name="Center 7 GI" sheetId="7" r:id="rId10"/>
    <sheet state="visible" name="Center 8 GI" sheetId="8" r:id="rId11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9" xfId="0" applyFont="1" applyNumberFormat="1"/>
    <xf borderId="0" fillId="2" fontId="2" numFmtId="19" xfId="0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0.57"/>
    <col customWidth="1" min="2" max="2" width="12.14"/>
    <col customWidth="1" min="3" max="3" width="7.71"/>
    <col customWidth="1" min="4" max="4" width="6.71"/>
    <col customWidth="1" min="6" max="6" width="8.86"/>
    <col customWidth="1" min="7" max="7" width="52.86"/>
  </cols>
  <sheetData>
    <row r="1">
      <c r="A1" s="1" t="str">
        <f>IFERROR(__xludf.DUMMYFUNCTION("IMPORTRANGE(""https://docs.google.com/spreadsheets/d/1PHiz0I6v3EHBf7Pv8Pgf6mobEMX6t4_SrMKOz1XC7KE/edit#gid=1202109247"",""Center1 GM/SM/EA!A1:D29"")"),"Category")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IFERROR(__xludf.DUMMYFUNCTION("IMPORTRANGE(""https://docs.google.com/spreadsheets/d/1PHiz0I6v3EHBf7Pv8Pgf6mobEMX6t4_SrMKOz1XC7KE/edit#gid=1202109247"",""Center1 GM/SM/EA!G1:G29"")"),"Code")</f>
        <v>Code</v>
      </c>
      <c r="G1" s="1" t="str">
        <f>IFERROR(__xludf.DUMMYFUNCTION("IMPORTRANGE(""https://docs.google.com/spreadsheets/d/1PHiz0I6v3EHBf7Pv8Pgf6mobEMX6t4_SrMKOz1XC7KE/edit#gid=1202109247"",""Center1 GM/SM/EA!I1:I29"")"),"EntryTitle")</f>
        <v>EntryTitle</v>
      </c>
    </row>
    <row r="2">
      <c r="A2" s="1" t="str">
        <f>IFERROR(__xludf.DUMMYFUNCTION("""COMPUTED_VALUE"""),"EA")</f>
        <v>EA</v>
      </c>
      <c r="B2" s="1" t="str">
        <f>IFERROR(__xludf.DUMMYFUNCTION("""COMPUTED_VALUE"""),"Center 1")</f>
        <v>Center 1</v>
      </c>
      <c r="C2" s="1">
        <f>IFERROR(__xludf.DUMMYFUNCTION("""COMPUTED_VALUE"""),800.0)</f>
        <v>800</v>
      </c>
      <c r="D2" s="1">
        <f>IFERROR(__xludf.DUMMYFUNCTION("""COMPUTED_VALUE"""),820.0)</f>
        <v>820</v>
      </c>
      <c r="E2" s="2">
        <f t="shared" ref="E2:E29" si="1">time(int(C2/100),mod(C2,100),0)</f>
        <v>0.3333333333</v>
      </c>
      <c r="F2" s="1">
        <f>IFERROR(__xludf.DUMMYFUNCTION("""COMPUTED_VALUE"""),131.0)</f>
        <v>131</v>
      </c>
      <c r="G2" s="1" t="str">
        <f>IFERROR(__xludf.DUMMYFUNCTION("""COMPUTED_VALUE"""),"The Legend of Sleepy Hollow")</f>
        <v>The Legend of Sleepy Hollow</v>
      </c>
    </row>
    <row r="3">
      <c r="A3" s="1" t="str">
        <f>IFERROR(__xludf.DUMMYFUNCTION("""COMPUTED_VALUE"""),"EA")</f>
        <v>EA</v>
      </c>
      <c r="B3" s="1" t="str">
        <f>IFERROR(__xludf.DUMMYFUNCTION("""COMPUTED_VALUE"""),"Center 1")</f>
        <v>Center 1</v>
      </c>
      <c r="C3" s="1">
        <f>IFERROR(__xludf.DUMMYFUNCTION("""COMPUTED_VALUE"""),820.0)</f>
        <v>820</v>
      </c>
      <c r="D3" s="1">
        <f>IFERROR(__xludf.DUMMYFUNCTION("""COMPUTED_VALUE"""),840.0)</f>
        <v>840</v>
      </c>
      <c r="E3" s="3">
        <f t="shared" si="1"/>
        <v>0.3472222222</v>
      </c>
      <c r="F3" s="1"/>
      <c r="G3" s="1"/>
    </row>
    <row r="4">
      <c r="A4" s="1" t="str">
        <f>IFERROR(__xludf.DUMMYFUNCTION("""COMPUTED_VALUE"""),"EA")</f>
        <v>EA</v>
      </c>
      <c r="B4" s="1" t="str">
        <f>IFERROR(__xludf.DUMMYFUNCTION("""COMPUTED_VALUE"""),"Center 1")</f>
        <v>Center 1</v>
      </c>
      <c r="C4" s="1">
        <f>IFERROR(__xludf.DUMMYFUNCTION("""COMPUTED_VALUE"""),840.0)</f>
        <v>840</v>
      </c>
      <c r="D4" s="1">
        <f>IFERROR(__xludf.DUMMYFUNCTION("""COMPUTED_VALUE"""),900.0)</f>
        <v>900</v>
      </c>
      <c r="E4" s="2">
        <f t="shared" si="1"/>
        <v>0.3611111111</v>
      </c>
      <c r="F4" s="1">
        <f>IFERROR(__xludf.DUMMYFUNCTION("""COMPUTED_VALUE"""),948.0)</f>
        <v>948</v>
      </c>
      <c r="G4" s="1" t="str">
        <f>IFERROR(__xludf.DUMMYFUNCTION("""COMPUTED_VALUE"""),"Poor Little Lambs")</f>
        <v>Poor Little Lambs</v>
      </c>
    </row>
    <row r="5">
      <c r="A5" s="1" t="str">
        <f>IFERROR(__xludf.DUMMYFUNCTION("""COMPUTED_VALUE"""),"EA")</f>
        <v>EA</v>
      </c>
      <c r="B5" s="1" t="str">
        <f>IFERROR(__xludf.DUMMYFUNCTION("""COMPUTED_VALUE"""),"Center 1")</f>
        <v>Center 1</v>
      </c>
      <c r="C5" s="1">
        <f>IFERROR(__xludf.DUMMYFUNCTION("""COMPUTED_VALUE"""),855.0)</f>
        <v>855</v>
      </c>
      <c r="D5" s="1"/>
      <c r="E5" s="3">
        <f t="shared" si="1"/>
        <v>0.3715277778</v>
      </c>
      <c r="F5" s="1" t="str">
        <f>IFERROR(__xludf.DUMMYFUNCTION("""COMPUTED_VALUE"""),"BREAK")</f>
        <v>BREAK</v>
      </c>
      <c r="G5" s="1"/>
    </row>
    <row r="6">
      <c r="A6" s="1" t="str">
        <f>IFERROR(__xludf.DUMMYFUNCTION("""COMPUTED_VALUE"""),"EA")</f>
        <v>EA</v>
      </c>
      <c r="B6" s="1" t="str">
        <f>IFERROR(__xludf.DUMMYFUNCTION("""COMPUTED_VALUE"""),"Center 1")</f>
        <v>Center 1</v>
      </c>
      <c r="C6" s="1">
        <f>IFERROR(__xludf.DUMMYFUNCTION("""COMPUTED_VALUE"""),900.0)</f>
        <v>900</v>
      </c>
      <c r="D6" s="1">
        <f>IFERROR(__xludf.DUMMYFUNCTION("""COMPUTED_VALUE"""),920.0)</f>
        <v>920</v>
      </c>
      <c r="E6" s="2">
        <f t="shared" si="1"/>
        <v>0.375</v>
      </c>
      <c r="F6" s="1">
        <f>IFERROR(__xludf.DUMMYFUNCTION("""COMPUTED_VALUE"""),967.0)</f>
        <v>967</v>
      </c>
      <c r="G6" s="1" t="str">
        <f>IFERROR(__xludf.DUMMYFUNCTION("""COMPUTED_VALUE"""),"5 Lesbians Eating a Quiche")</f>
        <v>5 Lesbians Eating a Quiche</v>
      </c>
    </row>
    <row r="7">
      <c r="A7" s="1" t="str">
        <f>IFERROR(__xludf.DUMMYFUNCTION("""COMPUTED_VALUE"""),"EA")</f>
        <v>EA</v>
      </c>
      <c r="B7" s="1" t="str">
        <f>IFERROR(__xludf.DUMMYFUNCTION("""COMPUTED_VALUE"""),"Center 1")</f>
        <v>Center 1</v>
      </c>
      <c r="C7" s="1">
        <f>IFERROR(__xludf.DUMMYFUNCTION("""COMPUTED_VALUE"""),920.0)</f>
        <v>920</v>
      </c>
      <c r="D7" s="1">
        <f>IFERROR(__xludf.DUMMYFUNCTION("""COMPUTED_VALUE"""),940.0)</f>
        <v>940</v>
      </c>
      <c r="E7" s="3">
        <f t="shared" si="1"/>
        <v>0.3888888889</v>
      </c>
      <c r="F7" s="1">
        <f>IFERROR(__xludf.DUMMYFUNCTION("""COMPUTED_VALUE"""),948.0)</f>
        <v>948</v>
      </c>
      <c r="G7" s="1" t="str">
        <f>IFERROR(__xludf.DUMMYFUNCTION("""COMPUTED_VALUE"""),"Overtones")</f>
        <v>Overtones</v>
      </c>
    </row>
    <row r="8">
      <c r="A8" s="1" t="str">
        <f>IFERROR(__xludf.DUMMYFUNCTION("""COMPUTED_VALUE"""),"EA")</f>
        <v>EA</v>
      </c>
      <c r="B8" s="1" t="str">
        <f>IFERROR(__xludf.DUMMYFUNCTION("""COMPUTED_VALUE"""),"Center 1")</f>
        <v>Center 1</v>
      </c>
      <c r="C8" s="1">
        <f>IFERROR(__xludf.DUMMYFUNCTION("""COMPUTED_VALUE"""),940.0)</f>
        <v>940</v>
      </c>
      <c r="D8" s="1">
        <f>IFERROR(__xludf.DUMMYFUNCTION("""COMPUTED_VALUE"""),1000.0)</f>
        <v>1000</v>
      </c>
      <c r="E8" s="2">
        <f t="shared" si="1"/>
        <v>0.4027777778</v>
      </c>
      <c r="F8" s="1">
        <f>IFERROR(__xludf.DUMMYFUNCTION("""COMPUTED_VALUE"""),967.0)</f>
        <v>967</v>
      </c>
      <c r="G8" s="1" t="str">
        <f>IFERROR(__xludf.DUMMYFUNCTION("""COMPUTED_VALUE"""),"Relative Strangers")</f>
        <v>Relative Strangers</v>
      </c>
    </row>
    <row r="9">
      <c r="A9" s="1" t="str">
        <f>IFERROR(__xludf.DUMMYFUNCTION("""COMPUTED_VALUE"""),"EA")</f>
        <v>EA</v>
      </c>
      <c r="B9" s="1" t="str">
        <f>IFERROR(__xludf.DUMMYFUNCTION("""COMPUTED_VALUE"""),"Center 1")</f>
        <v>Center 1</v>
      </c>
      <c r="C9" s="1">
        <f>IFERROR(__xludf.DUMMYFUNCTION("""COMPUTED_VALUE"""),955.0)</f>
        <v>955</v>
      </c>
      <c r="D9" s="1"/>
      <c r="E9" s="3">
        <f t="shared" si="1"/>
        <v>0.4131944444</v>
      </c>
      <c r="F9" s="1" t="str">
        <f>IFERROR(__xludf.DUMMYFUNCTION("""COMPUTED_VALUE"""),"BREAK")</f>
        <v>BREAK</v>
      </c>
      <c r="G9" s="1"/>
    </row>
    <row r="10">
      <c r="A10" s="1" t="str">
        <f>IFERROR(__xludf.DUMMYFUNCTION("""COMPUTED_VALUE"""),"GM")</f>
        <v>GM</v>
      </c>
      <c r="B10" s="1" t="str">
        <f>IFERROR(__xludf.DUMMYFUNCTION("""COMPUTED_VALUE"""),"Center 1")</f>
        <v>Center 1</v>
      </c>
      <c r="C10" s="1">
        <f>IFERROR(__xludf.DUMMYFUNCTION("""COMPUTED_VALUE"""),1000.0)</f>
        <v>1000</v>
      </c>
      <c r="D10" s="1">
        <f>IFERROR(__xludf.DUMMYFUNCTION("""COMPUTED_VALUE"""),1007.0)</f>
        <v>1007</v>
      </c>
      <c r="E10" s="2">
        <f t="shared" si="1"/>
        <v>0.4166666667</v>
      </c>
      <c r="F10" s="1">
        <f>IFERROR(__xludf.DUMMYFUNCTION("""COMPUTED_VALUE"""),948.0)</f>
        <v>948</v>
      </c>
      <c r="G10" s="1" t="str">
        <f>IFERROR(__xludf.DUMMYFUNCTION("""COMPUTED_VALUE"""),"Cirque du Mime")</f>
        <v>Cirque du Mime</v>
      </c>
    </row>
    <row r="11">
      <c r="A11" s="1" t="str">
        <f>IFERROR(__xludf.DUMMYFUNCTION("""COMPUTED_VALUE"""),"GM")</f>
        <v>GM</v>
      </c>
      <c r="B11" s="1" t="str">
        <f>IFERROR(__xludf.DUMMYFUNCTION("""COMPUTED_VALUE"""),"Center 1")</f>
        <v>Center 1</v>
      </c>
      <c r="C11" s="1">
        <f>IFERROR(__xludf.DUMMYFUNCTION("""COMPUTED_VALUE"""),1015.0)</f>
        <v>1015</v>
      </c>
      <c r="D11" s="1">
        <f>IFERROR(__xludf.DUMMYFUNCTION("""COMPUTED_VALUE"""),1022.0)</f>
        <v>1022</v>
      </c>
      <c r="E11" s="3">
        <f t="shared" si="1"/>
        <v>0.4270833333</v>
      </c>
      <c r="F11" s="1">
        <f>IFERROR(__xludf.DUMMYFUNCTION("""COMPUTED_VALUE"""),868.0)</f>
        <v>868</v>
      </c>
      <c r="G11" s="1" t="str">
        <f>IFERROR(__xludf.DUMMYFUNCTION("""COMPUTED_VALUE"""),"Sisterhood")</f>
        <v>Sisterhood</v>
      </c>
    </row>
    <row r="12">
      <c r="A12" s="1" t="str">
        <f>IFERROR(__xludf.DUMMYFUNCTION("""COMPUTED_VALUE"""),"GM")</f>
        <v>GM</v>
      </c>
      <c r="B12" s="1" t="str">
        <f>IFERROR(__xludf.DUMMYFUNCTION("""COMPUTED_VALUE"""),"Center 1")</f>
        <v>Center 1</v>
      </c>
      <c r="C12" s="1">
        <f>IFERROR(__xludf.DUMMYFUNCTION("""COMPUTED_VALUE"""),1030.0)</f>
        <v>1030</v>
      </c>
      <c r="D12" s="1">
        <f>IFERROR(__xludf.DUMMYFUNCTION("""COMPUTED_VALUE"""),1037.0)</f>
        <v>1037</v>
      </c>
      <c r="E12" s="2">
        <f t="shared" si="1"/>
        <v>0.4375</v>
      </c>
      <c r="F12" s="1">
        <f>IFERROR(__xludf.DUMMYFUNCTION("""COMPUTED_VALUE"""),623.0)</f>
        <v>623</v>
      </c>
      <c r="G12" s="1" t="str">
        <f>IFERROR(__xludf.DUMMYFUNCTION("""COMPUTED_VALUE"""),"A First Friend")</f>
        <v>A First Friend</v>
      </c>
    </row>
    <row r="13">
      <c r="A13" s="1" t="str">
        <f>IFERROR(__xludf.DUMMYFUNCTION("""COMPUTED_VALUE"""),"GM")</f>
        <v>GM</v>
      </c>
      <c r="B13" s="1" t="str">
        <f>IFERROR(__xludf.DUMMYFUNCTION("""COMPUTED_VALUE"""),"Center 1")</f>
        <v>Center 1</v>
      </c>
      <c r="C13" s="1">
        <f>IFERROR(__xludf.DUMMYFUNCTION("""COMPUTED_VALUE"""),1035.0)</f>
        <v>1035</v>
      </c>
      <c r="D13" s="1"/>
      <c r="E13" s="3">
        <f t="shared" si="1"/>
        <v>0.4409722222</v>
      </c>
      <c r="F13" s="1" t="str">
        <f>IFERROR(__xludf.DUMMYFUNCTION("""COMPUTED_VALUE"""),"BREAK")</f>
        <v>BREAK</v>
      </c>
      <c r="G13" s="1"/>
    </row>
    <row r="14">
      <c r="A14" s="1" t="str">
        <f>IFERROR(__xludf.DUMMYFUNCTION("""COMPUTED_VALUE"""),"EA")</f>
        <v>EA</v>
      </c>
      <c r="B14" s="1" t="str">
        <f>IFERROR(__xludf.DUMMYFUNCTION("""COMPUTED_VALUE"""),"Center 1")</f>
        <v>Center 1</v>
      </c>
      <c r="C14" s="1">
        <f>IFERROR(__xludf.DUMMYFUNCTION("""COMPUTED_VALUE"""),1045.0)</f>
        <v>1045</v>
      </c>
      <c r="D14" s="1">
        <f>IFERROR(__xludf.DUMMYFUNCTION("""COMPUTED_VALUE"""),1105.0)</f>
        <v>1105</v>
      </c>
      <c r="E14" s="2">
        <f t="shared" si="1"/>
        <v>0.4479166667</v>
      </c>
      <c r="F14" s="1">
        <f>IFERROR(__xludf.DUMMYFUNCTION("""COMPUTED_VALUE"""),633.0)</f>
        <v>633</v>
      </c>
      <c r="G14" s="1" t="str">
        <f>IFERROR(__xludf.DUMMYFUNCTION("""COMPUTED_VALUE"""),"Please Have A Seat And Someone Will Be With You Shortly")</f>
        <v>Please Have A Seat And Someone Will Be With You Shortly</v>
      </c>
    </row>
    <row r="15">
      <c r="A15" s="1" t="str">
        <f>IFERROR(__xludf.DUMMYFUNCTION("""COMPUTED_VALUE"""),"EA")</f>
        <v>EA</v>
      </c>
      <c r="B15" s="1" t="str">
        <f>IFERROR(__xludf.DUMMYFUNCTION("""COMPUTED_VALUE"""),"Center 1")</f>
        <v>Center 1</v>
      </c>
      <c r="C15" s="1">
        <f>IFERROR(__xludf.DUMMYFUNCTION("""COMPUTED_VALUE"""),1100.0)</f>
        <v>1100</v>
      </c>
      <c r="D15" s="1">
        <f>IFERROR(__xludf.DUMMYFUNCTION("""COMPUTED_VALUE"""),1120.0)</f>
        <v>1120</v>
      </c>
      <c r="E15" s="3">
        <f t="shared" si="1"/>
        <v>0.4583333333</v>
      </c>
      <c r="F15" s="1">
        <f>IFERROR(__xludf.DUMMYFUNCTION("""COMPUTED_VALUE"""),948.0)</f>
        <v>948</v>
      </c>
      <c r="G15" s="1" t="str">
        <f>IFERROR(__xludf.DUMMYFUNCTION("""COMPUTED_VALUE"""),"Rabbit Hole")</f>
        <v>Rabbit Hole</v>
      </c>
    </row>
    <row r="16">
      <c r="A16" s="1" t="str">
        <f>IFERROR(__xludf.DUMMYFUNCTION("""COMPUTED_VALUE"""),"EA")</f>
        <v>EA</v>
      </c>
      <c r="B16" s="1" t="str">
        <f>IFERROR(__xludf.DUMMYFUNCTION("""COMPUTED_VALUE"""),"Center 1")</f>
        <v>Center 1</v>
      </c>
      <c r="C16" s="1">
        <f>IFERROR(__xludf.DUMMYFUNCTION("""COMPUTED_VALUE"""),1120.0)</f>
        <v>1120</v>
      </c>
      <c r="D16" s="1">
        <f>IFERROR(__xludf.DUMMYFUNCTION("""COMPUTED_VALUE"""),1140.0)</f>
        <v>1140</v>
      </c>
      <c r="E16" s="2">
        <f t="shared" si="1"/>
        <v>0.4722222222</v>
      </c>
      <c r="F16" s="1">
        <f>IFERROR(__xludf.DUMMYFUNCTION("""COMPUTED_VALUE"""),949.0)</f>
        <v>949</v>
      </c>
      <c r="G16" s="1" t="str">
        <f>IFERROR(__xludf.DUMMYFUNCTION("""COMPUTED_VALUE"""),"My Scale is Lying to Me")</f>
        <v>My Scale is Lying to Me</v>
      </c>
    </row>
    <row r="17">
      <c r="A17" s="1" t="str">
        <f>IFERROR(__xludf.DUMMYFUNCTION("""COMPUTED_VALUE"""),"EA")</f>
        <v>EA</v>
      </c>
      <c r="B17" s="1" t="str">
        <f>IFERROR(__xludf.DUMMYFUNCTION("""COMPUTED_VALUE"""),"Center 1")</f>
        <v>Center 1</v>
      </c>
      <c r="C17" s="1">
        <f>IFERROR(__xludf.DUMMYFUNCTION("""COMPUTED_VALUE"""),1140.0)</f>
        <v>1140</v>
      </c>
      <c r="D17" s="1">
        <f>IFERROR(__xludf.DUMMYFUNCTION("""COMPUTED_VALUE"""),1200.0)</f>
        <v>1200</v>
      </c>
      <c r="E17" s="3">
        <f t="shared" si="1"/>
        <v>0.4861111111</v>
      </c>
      <c r="F17" s="1">
        <f>IFERROR(__xludf.DUMMYFUNCTION("""COMPUTED_VALUE"""),253.0)</f>
        <v>253</v>
      </c>
      <c r="G17" s="1" t="str">
        <f>IFERROR(__xludf.DUMMYFUNCTION("""COMPUTED_VALUE"""),"All At Fault ")</f>
        <v>All At Fault </v>
      </c>
    </row>
    <row r="18">
      <c r="A18" s="1" t="str">
        <f>IFERROR(__xludf.DUMMYFUNCTION("""COMPUTED_VALUE"""),"SM")</f>
        <v>SM</v>
      </c>
      <c r="B18" s="1" t="str">
        <f>IFERROR(__xludf.DUMMYFUNCTION("""COMPUTED_VALUE"""),"Center 1")</f>
        <v>Center 1</v>
      </c>
      <c r="C18" s="1">
        <f>IFERROR(__xludf.DUMMYFUNCTION("""COMPUTED_VALUE"""),1300.0)</f>
        <v>1300</v>
      </c>
      <c r="D18" s="1">
        <f>IFERROR(__xludf.DUMMYFUNCTION("""COMPUTED_VALUE"""),1305.0)</f>
        <v>1305</v>
      </c>
      <c r="E18" s="2">
        <f t="shared" si="1"/>
        <v>0.5416666667</v>
      </c>
      <c r="F18" s="1">
        <f>IFERROR(__xludf.DUMMYFUNCTION("""COMPUTED_VALUE"""),948.0)</f>
        <v>948</v>
      </c>
      <c r="G18" s="1" t="str">
        <f>IFERROR(__xludf.DUMMYFUNCTION("""COMPUTED_VALUE"""),"Shiri")</f>
        <v>Shiri</v>
      </c>
    </row>
    <row r="19">
      <c r="A19" s="1" t="str">
        <f>IFERROR(__xludf.DUMMYFUNCTION("""COMPUTED_VALUE"""),"SM")</f>
        <v>SM</v>
      </c>
      <c r="B19" s="1" t="str">
        <f>IFERROR(__xludf.DUMMYFUNCTION("""COMPUTED_VALUE"""),"Center 1")</f>
        <v>Center 1</v>
      </c>
      <c r="C19" s="1">
        <f>IFERROR(__xludf.DUMMYFUNCTION("""COMPUTED_VALUE"""),1310.0)</f>
        <v>1310</v>
      </c>
      <c r="D19" s="1">
        <f>IFERROR(__xludf.DUMMYFUNCTION("""COMPUTED_VALUE"""),1315.0)</f>
        <v>1315</v>
      </c>
      <c r="E19" s="3">
        <f t="shared" si="1"/>
        <v>0.5486111111</v>
      </c>
      <c r="F19" s="1"/>
      <c r="G19" s="1"/>
    </row>
    <row r="20">
      <c r="A20" s="1" t="str">
        <f>IFERROR(__xludf.DUMMYFUNCTION("""COMPUTED_VALUE"""),"SM")</f>
        <v>SM</v>
      </c>
      <c r="B20" s="1" t="str">
        <f>IFERROR(__xludf.DUMMYFUNCTION("""COMPUTED_VALUE"""),"Center 1")</f>
        <v>Center 1</v>
      </c>
      <c r="C20" s="1">
        <f>IFERROR(__xludf.DUMMYFUNCTION("""COMPUTED_VALUE"""),1320.0)</f>
        <v>1320</v>
      </c>
      <c r="D20" s="1">
        <f>IFERROR(__xludf.DUMMYFUNCTION("""COMPUTED_VALUE"""),1325.0)</f>
        <v>1325</v>
      </c>
      <c r="E20" s="2">
        <f t="shared" si="1"/>
        <v>0.5555555556</v>
      </c>
      <c r="F20" s="1">
        <f>IFERROR(__xludf.DUMMYFUNCTION("""COMPUTED_VALUE"""),773.0)</f>
        <v>773</v>
      </c>
      <c r="G20" s="1" t="str">
        <f>IFERROR(__xludf.DUMMYFUNCTION("""COMPUTED_VALUE"""),"Civil War Re-Enactment Gone Wrong")</f>
        <v>Civil War Re-Enactment Gone Wrong</v>
      </c>
    </row>
    <row r="21">
      <c r="A21" s="1" t="str">
        <f>IFERROR(__xludf.DUMMYFUNCTION("""COMPUTED_VALUE"""),"SM")</f>
        <v>SM</v>
      </c>
      <c r="B21" s="1" t="str">
        <f>IFERROR(__xludf.DUMMYFUNCTION("""COMPUTED_VALUE"""),"Center 1")</f>
        <v>Center 1</v>
      </c>
      <c r="C21" s="1">
        <f>IFERROR(__xludf.DUMMYFUNCTION("""COMPUTED_VALUE"""),1330.0)</f>
        <v>1330</v>
      </c>
      <c r="D21" s="1">
        <f>IFERROR(__xludf.DUMMYFUNCTION("""COMPUTED_VALUE"""),1335.0)</f>
        <v>1335</v>
      </c>
      <c r="E21" s="3">
        <f t="shared" si="1"/>
        <v>0.5625</v>
      </c>
      <c r="F21" s="1">
        <f>IFERROR(__xludf.DUMMYFUNCTION("""COMPUTED_VALUE"""),983.0)</f>
        <v>983</v>
      </c>
      <c r="G21" s="1" t="str">
        <f>IFERROR(__xludf.DUMMYFUNCTION("""COMPUTED_VALUE"""),"Robertson Mime")</f>
        <v>Robertson Mime</v>
      </c>
    </row>
    <row r="22">
      <c r="A22" s="1" t="str">
        <f>IFERROR(__xludf.DUMMYFUNCTION("""COMPUTED_VALUE"""),"SM")</f>
        <v>SM</v>
      </c>
      <c r="B22" s="1" t="str">
        <f>IFERROR(__xludf.DUMMYFUNCTION("""COMPUTED_VALUE"""),"Center 1")</f>
        <v>Center 1</v>
      </c>
      <c r="C22" s="1">
        <f>IFERROR(__xludf.DUMMYFUNCTION("""COMPUTED_VALUE"""),1340.0)</f>
        <v>1340</v>
      </c>
      <c r="D22" s="1">
        <f>IFERROR(__xludf.DUMMYFUNCTION("""COMPUTED_VALUE"""),1345.0)</f>
        <v>1345</v>
      </c>
      <c r="E22" s="2">
        <f t="shared" si="1"/>
        <v>0.5694444444</v>
      </c>
      <c r="F22" s="1">
        <f>IFERROR(__xludf.DUMMYFUNCTION("""COMPUTED_VALUE"""),948.0)</f>
        <v>948</v>
      </c>
      <c r="G22" s="1" t="str">
        <f>IFERROR(__xludf.DUMMYFUNCTION("""COMPUTED_VALUE"""),"Angel")</f>
        <v>Angel</v>
      </c>
    </row>
    <row r="23">
      <c r="A23" s="1" t="str">
        <f>IFERROR(__xludf.DUMMYFUNCTION("""COMPUTED_VALUE"""),"SM")</f>
        <v>SM</v>
      </c>
      <c r="B23" s="1" t="str">
        <f>IFERROR(__xludf.DUMMYFUNCTION("""COMPUTED_VALUE"""),"Center 1")</f>
        <v>Center 1</v>
      </c>
      <c r="C23" s="1">
        <f>IFERROR(__xludf.DUMMYFUNCTION("""COMPUTED_VALUE"""),1350.0)</f>
        <v>1350</v>
      </c>
      <c r="D23" s="1">
        <f>IFERROR(__xludf.DUMMYFUNCTION("""COMPUTED_VALUE"""),1355.0)</f>
        <v>1355</v>
      </c>
      <c r="E23" s="3">
        <f t="shared" si="1"/>
        <v>0.5763888889</v>
      </c>
      <c r="F23" s="1">
        <f>IFERROR(__xludf.DUMMYFUNCTION("""COMPUTED_VALUE"""),235.0)</f>
        <v>235</v>
      </c>
      <c r="G23" s="1" t="str">
        <f>IFERROR(__xludf.DUMMYFUNCTION("""COMPUTED_VALUE"""),"The Drive")</f>
        <v>The Drive</v>
      </c>
    </row>
    <row r="24">
      <c r="A24" s="1" t="str">
        <f>IFERROR(__xludf.DUMMYFUNCTION("""COMPUTED_VALUE"""),"SM")</f>
        <v>SM</v>
      </c>
      <c r="B24" s="1" t="str">
        <f>IFERROR(__xludf.DUMMYFUNCTION("""COMPUTED_VALUE"""),"Center 1")</f>
        <v>Center 1</v>
      </c>
      <c r="C24" s="1">
        <f>IFERROR(__xludf.DUMMYFUNCTION("""COMPUTED_VALUE"""),1359.0)</f>
        <v>1359</v>
      </c>
      <c r="D24" s="1"/>
      <c r="E24" s="2">
        <f t="shared" si="1"/>
        <v>0.5826388889</v>
      </c>
      <c r="F24" s="1" t="str">
        <f>IFERROR(__xludf.DUMMYFUNCTION("""COMPUTED_VALUE"""),"BREAK")</f>
        <v>BREAK</v>
      </c>
      <c r="G24" s="1"/>
    </row>
    <row r="25">
      <c r="A25" s="1" t="str">
        <f>IFERROR(__xludf.DUMMYFUNCTION("""COMPUTED_VALUE"""),"SM")</f>
        <v>SM</v>
      </c>
      <c r="B25" s="1" t="str">
        <f>IFERROR(__xludf.DUMMYFUNCTION("""COMPUTED_VALUE"""),"Center 1")</f>
        <v>Center 1</v>
      </c>
      <c r="C25" s="1">
        <f>IFERROR(__xludf.DUMMYFUNCTION("""COMPUTED_VALUE"""),1400.0)</f>
        <v>1400</v>
      </c>
      <c r="D25" s="1">
        <f>IFERROR(__xludf.DUMMYFUNCTION("""COMPUTED_VALUE"""),1405.0)</f>
        <v>1405</v>
      </c>
      <c r="E25" s="3">
        <f t="shared" si="1"/>
        <v>0.5833333333</v>
      </c>
      <c r="F25" s="1">
        <f>IFERROR(__xludf.DUMMYFUNCTION("""COMPUTED_VALUE"""),563.0)</f>
        <v>563</v>
      </c>
      <c r="G25" s="1" t="str">
        <f>IFERROR(__xludf.DUMMYFUNCTION("""COMPUTED_VALUE"""),"Overwhelmed")</f>
        <v>Overwhelmed</v>
      </c>
    </row>
    <row r="26">
      <c r="A26" s="1" t="str">
        <f>IFERROR(__xludf.DUMMYFUNCTION("""COMPUTED_VALUE"""),"SM")</f>
        <v>SM</v>
      </c>
      <c r="B26" s="1" t="str">
        <f>IFERROR(__xludf.DUMMYFUNCTION("""COMPUTED_VALUE"""),"Center 1")</f>
        <v>Center 1</v>
      </c>
      <c r="C26" s="1">
        <f>IFERROR(__xludf.DUMMYFUNCTION("""COMPUTED_VALUE"""),1410.0)</f>
        <v>1410</v>
      </c>
      <c r="D26" s="1">
        <f>IFERROR(__xludf.DUMMYFUNCTION("""COMPUTED_VALUE"""),1415.0)</f>
        <v>1415</v>
      </c>
      <c r="E26" s="2">
        <f t="shared" si="1"/>
        <v>0.5902777778</v>
      </c>
      <c r="F26" s="1">
        <f>IFERROR(__xludf.DUMMYFUNCTION("""COMPUTED_VALUE"""),948.0)</f>
        <v>948</v>
      </c>
      <c r="G26" s="1" t="str">
        <f>IFERROR(__xludf.DUMMYFUNCTION("""COMPUTED_VALUE"""),"Wynn")</f>
        <v>Wynn</v>
      </c>
    </row>
    <row r="27">
      <c r="A27" s="1" t="str">
        <f>IFERROR(__xludf.DUMMYFUNCTION("""COMPUTED_VALUE"""),"GM")</f>
        <v>GM</v>
      </c>
      <c r="B27" s="1" t="str">
        <f>IFERROR(__xludf.DUMMYFUNCTION("""COMPUTED_VALUE"""),"Center 1")</f>
        <v>Center 1</v>
      </c>
      <c r="C27" s="1">
        <f>IFERROR(__xludf.DUMMYFUNCTION("""COMPUTED_VALUE"""),1420.0)</f>
        <v>1420</v>
      </c>
      <c r="D27" s="1">
        <f>IFERROR(__xludf.DUMMYFUNCTION("""COMPUTED_VALUE"""),1427.0)</f>
        <v>1427</v>
      </c>
      <c r="E27" s="3">
        <f t="shared" si="1"/>
        <v>0.5972222222</v>
      </c>
      <c r="F27" s="1">
        <f>IFERROR(__xludf.DUMMYFUNCTION("""COMPUTED_VALUE"""),948.0)</f>
        <v>948</v>
      </c>
      <c r="G27" s="1" t="str">
        <f>IFERROR(__xludf.DUMMYFUNCTION("""COMPUTED_VALUE"""),"The Lost Boy")</f>
        <v>The Lost Boy</v>
      </c>
    </row>
    <row r="28">
      <c r="A28" s="1" t="str">
        <f>IFERROR(__xludf.DUMMYFUNCTION("""COMPUTED_VALUE"""),"GM")</f>
        <v>GM</v>
      </c>
      <c r="B28" s="1" t="str">
        <f>IFERROR(__xludf.DUMMYFUNCTION("""COMPUTED_VALUE"""),"Center 1")</f>
        <v>Center 1</v>
      </c>
      <c r="C28" s="1">
        <f>IFERROR(__xludf.DUMMYFUNCTION("""COMPUTED_VALUE"""),1430.0)</f>
        <v>1430</v>
      </c>
      <c r="D28" s="1">
        <f>IFERROR(__xludf.DUMMYFUNCTION("""COMPUTED_VALUE"""),1437.0)</f>
        <v>1437</v>
      </c>
      <c r="E28" s="2">
        <f t="shared" si="1"/>
        <v>0.6041666667</v>
      </c>
      <c r="F28" s="1">
        <f>IFERROR(__xludf.DUMMYFUNCTION("""COMPUTED_VALUE"""),948.0)</f>
        <v>948</v>
      </c>
      <c r="G28" s="1" t="str">
        <f>IFERROR(__xludf.DUMMYFUNCTION("""COMPUTED_VALUE"""),"By the Lamplight ")</f>
        <v>By the Lamplight </v>
      </c>
    </row>
    <row r="29">
      <c r="A29" s="1" t="str">
        <f>IFERROR(__xludf.DUMMYFUNCTION("""COMPUTED_VALUE"""),"GM")</f>
        <v>GM</v>
      </c>
      <c r="B29" s="1" t="str">
        <f>IFERROR(__xludf.DUMMYFUNCTION("""COMPUTED_VALUE"""),"Center 1")</f>
        <v>Center 1</v>
      </c>
      <c r="C29" s="1">
        <f>IFERROR(__xludf.DUMMYFUNCTION("""COMPUTED_VALUE"""),1440.0)</f>
        <v>1440</v>
      </c>
      <c r="D29" s="1">
        <f>IFERROR(__xludf.DUMMYFUNCTION("""COMPUTED_VALUE"""),1447.0)</f>
        <v>1447</v>
      </c>
      <c r="E29" s="3">
        <f t="shared" si="1"/>
        <v>0.6111111111</v>
      </c>
      <c r="F29" s="1">
        <f>IFERROR(__xludf.DUMMYFUNCTION("""COMPUTED_VALUE"""),563.0)</f>
        <v>563</v>
      </c>
      <c r="G29" s="1" t="str">
        <f>IFERROR(__xludf.DUMMYFUNCTION("""COMPUTED_VALUE"""),"Group Photo")</f>
        <v>Group Photo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43"/>
    <col customWidth="1" min="2" max="2" width="11.57"/>
    <col customWidth="1" min="3" max="3" width="7.0"/>
    <col customWidth="1" min="5" max="5" width="6.86"/>
    <col customWidth="1" min="6" max="6" width="8.57"/>
  </cols>
  <sheetData>
    <row r="1">
      <c r="A1" s="1" t="str">
        <f>IFERROR(__xludf.DUMMYFUNCTION("IMPORTRANGE(""https://docs.google.com/spreadsheets/d/1PHiz0I6v3EHBf7Pv8Pgf6mobEMX6t4_SrMKOz1XC7KE/edit#gid=1202109247"",""Center 2 SF/EA!A1:E29"")"),"Category")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2 SF/EA!G1:H29"")"),"Code")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IFERROR(__xludf.DUMMYFUNCTION("""COMPUTED_VALUE"""),"EA")</f>
        <v>EA</v>
      </c>
      <c r="B2" s="1" t="str">
        <f>IFERROR(__xludf.DUMMYFUNCTION("""COMPUTED_VALUE"""),"Center 2")</f>
        <v>Center 2</v>
      </c>
      <c r="C2" s="1">
        <f>IFERROR(__xludf.DUMMYFUNCTION("""COMPUTED_VALUE"""),800.0)</f>
        <v>800</v>
      </c>
      <c r="D2" s="2">
        <f>IFERROR(__xludf.DUMMYFUNCTION("""COMPUTED_VALUE"""),0.3333333333333333)</f>
        <v>0.3333333333</v>
      </c>
      <c r="E2" s="1">
        <f>IFERROR(__xludf.DUMMYFUNCTION("""COMPUTED_VALUE"""),815.0)</f>
        <v>815</v>
      </c>
      <c r="F2" s="1">
        <f>IFERROR(__xludf.DUMMYFUNCTION("""COMPUTED_VALUE"""),623.0)</f>
        <v>623</v>
      </c>
      <c r="G2" s="1" t="str">
        <f>IFERROR(__xludf.DUMMYFUNCTION("""COMPUTED_VALUE"""),"A No Play")</f>
        <v>A No Play</v>
      </c>
    </row>
    <row r="3">
      <c r="A3" s="1" t="str">
        <f>IFERROR(__xludf.DUMMYFUNCTION("""COMPUTED_VALUE"""),"EA")</f>
        <v>EA</v>
      </c>
      <c r="B3" s="1" t="str">
        <f>IFERROR(__xludf.DUMMYFUNCTION("""COMPUTED_VALUE"""),"Center 2")</f>
        <v>Center 2</v>
      </c>
      <c r="C3" s="1">
        <f>IFERROR(__xludf.DUMMYFUNCTION("""COMPUTED_VALUE"""),820.0)</f>
        <v>820</v>
      </c>
      <c r="D3" s="2">
        <f>IFERROR(__xludf.DUMMYFUNCTION("""COMPUTED_VALUE"""),0.3611111111111111)</f>
        <v>0.3611111111</v>
      </c>
      <c r="E3" s="1">
        <f>IFERROR(__xludf.DUMMYFUNCTION("""COMPUTED_VALUE"""),835.0)</f>
        <v>835</v>
      </c>
      <c r="F3" s="1">
        <f>IFERROR(__xludf.DUMMYFUNCTION("""COMPUTED_VALUE"""),983.0)</f>
        <v>983</v>
      </c>
      <c r="G3" s="1" t="str">
        <f>IFERROR(__xludf.DUMMYFUNCTION("""COMPUTED_VALUE"""),"Emergency Protocol")</f>
        <v>Emergency Protocol</v>
      </c>
    </row>
    <row r="4">
      <c r="A4" s="1" t="str">
        <f>IFERROR(__xludf.DUMMYFUNCTION("""COMPUTED_VALUE"""),"EA")</f>
        <v>EA</v>
      </c>
      <c r="B4" s="1" t="str">
        <f>IFERROR(__xludf.DUMMYFUNCTION("""COMPUTED_VALUE"""),"Center 2")</f>
        <v>Center 2</v>
      </c>
      <c r="C4" s="1">
        <f>IFERROR(__xludf.DUMMYFUNCTION("""COMPUTED_VALUE"""),840.0)</f>
        <v>840</v>
      </c>
      <c r="D4" s="2">
        <f>IFERROR(__xludf.DUMMYFUNCTION("""COMPUTED_VALUE"""),0.3611111111111111)</f>
        <v>0.3611111111</v>
      </c>
      <c r="E4" s="1">
        <f>IFERROR(__xludf.DUMMYFUNCTION("""COMPUTED_VALUE"""),855.0)</f>
        <v>855</v>
      </c>
      <c r="F4" s="1">
        <f>IFERROR(__xludf.DUMMYFUNCTION("""COMPUTED_VALUE"""),967.0)</f>
        <v>967</v>
      </c>
      <c r="G4" s="1" t="str">
        <f>IFERROR(__xludf.DUMMYFUNCTION("""COMPUTED_VALUE"""),"The Effects of Gamma Rays on Man-in-the-Moon Marigolds")</f>
        <v>The Effects of Gamma Rays on Man-in-the-Moon Marigolds</v>
      </c>
    </row>
    <row r="5">
      <c r="A5" s="1" t="str">
        <f>IFERROR(__xludf.DUMMYFUNCTION("""COMPUTED_VALUE"""),"SF")</f>
        <v>SF</v>
      </c>
      <c r="B5" s="1" t="str">
        <f>IFERROR(__xludf.DUMMYFUNCTION("""COMPUTED_VALUE"""),"Center 2")</f>
        <v>Center 2</v>
      </c>
      <c r="C5" s="1">
        <f>IFERROR(__xludf.DUMMYFUNCTION("""COMPUTED_VALUE"""),900.0)</f>
        <v>900</v>
      </c>
      <c r="D5" s="2">
        <f>IFERROR(__xludf.DUMMYFUNCTION("""COMPUTED_VALUE"""),0.375)</f>
        <v>0.375</v>
      </c>
      <c r="E5" s="1">
        <f>IFERROR(__xludf.DUMMYFUNCTION("""COMPUTED_VALUE"""),906.0)</f>
        <v>906</v>
      </c>
      <c r="F5" s="1">
        <f>IFERROR(__xludf.DUMMYFUNCTION("""COMPUTED_VALUE"""),949.0)</f>
        <v>949</v>
      </c>
      <c r="G5" s="1" t="str">
        <f>IFERROR(__xludf.DUMMYFUNCTION("""COMPUTED_VALUE"""),"School Lunch")</f>
        <v>School Lunch</v>
      </c>
    </row>
    <row r="6">
      <c r="A6" s="1" t="str">
        <f>IFERROR(__xludf.DUMMYFUNCTION("""COMPUTED_VALUE"""),"SF")</f>
        <v>SF</v>
      </c>
      <c r="B6" s="1" t="str">
        <f>IFERROR(__xludf.DUMMYFUNCTION("""COMPUTED_VALUE"""),"Center 2")</f>
        <v>Center 2</v>
      </c>
      <c r="C6" s="1">
        <f>IFERROR(__xludf.DUMMYFUNCTION("""COMPUTED_VALUE"""),915.0)</f>
        <v>915</v>
      </c>
      <c r="D6" s="2">
        <f>IFERROR(__xludf.DUMMYFUNCTION("""COMPUTED_VALUE"""),0.3854166666666667)</f>
        <v>0.3854166667</v>
      </c>
      <c r="E6" s="1">
        <f>IFERROR(__xludf.DUMMYFUNCTION("""COMPUTED_VALUE"""),921.0)</f>
        <v>921</v>
      </c>
      <c r="F6" s="1">
        <f>IFERROR(__xludf.DUMMYFUNCTION("""COMPUTED_VALUE"""),623.0)</f>
        <v>623</v>
      </c>
      <c r="G6" s="1" t="str">
        <f>IFERROR(__xludf.DUMMYFUNCTION("""COMPUTED_VALUE"""),"Maybe")</f>
        <v>Maybe</v>
      </c>
    </row>
    <row r="7">
      <c r="A7" s="1" t="str">
        <f>IFERROR(__xludf.DUMMYFUNCTION("""COMPUTED_VALUE"""),"SF")</f>
        <v>SF</v>
      </c>
      <c r="B7" s="1" t="str">
        <f>IFERROR(__xludf.DUMMYFUNCTION("""COMPUTED_VALUE"""),"Center 2")</f>
        <v>Center 2</v>
      </c>
      <c r="C7" s="1">
        <f>IFERROR(__xludf.DUMMYFUNCTION("""COMPUTED_VALUE"""),930.0)</f>
        <v>930</v>
      </c>
      <c r="D7" s="2">
        <f>IFERROR(__xludf.DUMMYFUNCTION("""COMPUTED_VALUE"""),0.40625)</f>
        <v>0.40625</v>
      </c>
      <c r="E7" s="1">
        <f>IFERROR(__xludf.DUMMYFUNCTION("""COMPUTED_VALUE"""),936.0)</f>
        <v>936</v>
      </c>
      <c r="F7" s="1">
        <f>IFERROR(__xludf.DUMMYFUNCTION("""COMPUTED_VALUE"""),233.0)</f>
        <v>233</v>
      </c>
      <c r="G7" s="1" t="str">
        <f>IFERROR(__xludf.DUMMYFUNCTION("""COMPUTED_VALUE"""),"Safe Space")</f>
        <v>Safe Space</v>
      </c>
    </row>
    <row r="8">
      <c r="A8" s="1" t="str">
        <f>IFERROR(__xludf.DUMMYFUNCTION("""COMPUTED_VALUE"""),"SF")</f>
        <v>SF</v>
      </c>
      <c r="B8" s="1" t="str">
        <f>IFERROR(__xludf.DUMMYFUNCTION("""COMPUTED_VALUE"""),"Center 2")</f>
        <v>Center 2</v>
      </c>
      <c r="C8" s="1">
        <f>IFERROR(__xludf.DUMMYFUNCTION("""COMPUTED_VALUE"""),945.0)</f>
        <v>945</v>
      </c>
      <c r="D8" s="2">
        <f>IFERROR(__xludf.DUMMYFUNCTION("""COMPUTED_VALUE"""),0.40625)</f>
        <v>0.40625</v>
      </c>
      <c r="E8" s="1">
        <f>IFERROR(__xludf.DUMMYFUNCTION("""COMPUTED_VALUE"""),951.0)</f>
        <v>951</v>
      </c>
      <c r="F8" s="1">
        <f>IFERROR(__xludf.DUMMYFUNCTION("""COMPUTED_VALUE"""),983.0)</f>
        <v>983</v>
      </c>
      <c r="G8" s="1" t="str">
        <f>IFERROR(__xludf.DUMMYFUNCTION("""COMPUTED_VALUE"""),"Supporting Role")</f>
        <v>Supporting Role</v>
      </c>
    </row>
    <row r="9">
      <c r="A9" s="1" t="str">
        <f>IFERROR(__xludf.DUMMYFUNCTION("""COMPUTED_VALUE"""),"SF")</f>
        <v>SF</v>
      </c>
      <c r="B9" s="1" t="str">
        <f>IFERROR(__xludf.DUMMYFUNCTION("""COMPUTED_VALUE"""),"Center 2")</f>
        <v>Center 2</v>
      </c>
      <c r="C9" s="1">
        <f>IFERROR(__xludf.DUMMYFUNCTION("""COMPUTED_VALUE"""),950.0)</f>
        <v>950</v>
      </c>
      <c r="D9" s="2">
        <f>IFERROR(__xludf.DUMMYFUNCTION("""COMPUTED_VALUE"""),0.4097222222222222)</f>
        <v>0.4097222222</v>
      </c>
      <c r="E9" s="1"/>
      <c r="F9" s="1" t="str">
        <f>IFERROR(__xludf.DUMMYFUNCTION("""COMPUTED_VALUE"""),"BREAK")</f>
        <v>BREAK</v>
      </c>
      <c r="G9" s="1"/>
    </row>
    <row r="10">
      <c r="A10" s="1" t="str">
        <f>IFERROR(__xludf.DUMMYFUNCTION("""COMPUTED_VALUE"""),"SF")</f>
        <v>SF</v>
      </c>
      <c r="B10" s="1" t="str">
        <f>IFERROR(__xludf.DUMMYFUNCTION("""COMPUTED_VALUE"""),"Center 2")</f>
        <v>Center 2</v>
      </c>
      <c r="C10" s="1">
        <f>IFERROR(__xludf.DUMMYFUNCTION("""COMPUTED_VALUE"""),1000.0)</f>
        <v>1000</v>
      </c>
      <c r="D10" s="2">
        <f>IFERROR(__xludf.DUMMYFUNCTION("""COMPUTED_VALUE"""),0.4166666666666667)</f>
        <v>0.4166666667</v>
      </c>
      <c r="E10" s="1">
        <f>IFERROR(__xludf.DUMMYFUNCTION("""COMPUTED_VALUE"""),1006.0)</f>
        <v>1006</v>
      </c>
      <c r="F10" s="1">
        <f>IFERROR(__xludf.DUMMYFUNCTION("""COMPUTED_VALUE"""),623.0)</f>
        <v>623</v>
      </c>
      <c r="G10" s="1" t="str">
        <f>IFERROR(__xludf.DUMMYFUNCTION("""COMPUTED_VALUE"""),"The Last Text")</f>
        <v>The Last Text</v>
      </c>
    </row>
    <row r="11">
      <c r="A11" s="1" t="str">
        <f>IFERROR(__xludf.DUMMYFUNCTION("""COMPUTED_VALUE"""),"SF")</f>
        <v>SF</v>
      </c>
      <c r="B11" s="1" t="str">
        <f>IFERROR(__xludf.DUMMYFUNCTION("""COMPUTED_VALUE"""),"Center 2")</f>
        <v>Center 2</v>
      </c>
      <c r="C11" s="1">
        <f>IFERROR(__xludf.DUMMYFUNCTION("""COMPUTED_VALUE"""),1015.0)</f>
        <v>1015</v>
      </c>
      <c r="D11" s="2">
        <f>IFERROR(__xludf.DUMMYFUNCTION("""COMPUTED_VALUE"""),0.4270833333333333)</f>
        <v>0.4270833333</v>
      </c>
      <c r="E11" s="1">
        <f>IFERROR(__xludf.DUMMYFUNCTION("""COMPUTED_VALUE"""),1021.0)</f>
        <v>1021</v>
      </c>
      <c r="F11" s="1">
        <f>IFERROR(__xludf.DUMMYFUNCTION("""COMPUTED_VALUE"""),967.0)</f>
        <v>967</v>
      </c>
      <c r="G11" s="1" t="str">
        <f>IFERROR(__xludf.DUMMYFUNCTION("""COMPUTED_VALUE"""),"How to Make a Short Film")</f>
        <v>How to Make a Short Film</v>
      </c>
    </row>
    <row r="12">
      <c r="A12" s="1" t="str">
        <f>IFERROR(__xludf.DUMMYFUNCTION("""COMPUTED_VALUE"""),"SF")</f>
        <v>SF</v>
      </c>
      <c r="B12" s="1" t="str">
        <f>IFERROR(__xludf.DUMMYFUNCTION("""COMPUTED_VALUE"""),"Center 2")</f>
        <v>Center 2</v>
      </c>
      <c r="C12" s="1">
        <f>IFERROR(__xludf.DUMMYFUNCTION("""COMPUTED_VALUE"""),1030.0)</f>
        <v>1030</v>
      </c>
      <c r="D12" s="2">
        <f>IFERROR(__xludf.DUMMYFUNCTION("""COMPUTED_VALUE"""),0.4375)</f>
        <v>0.4375</v>
      </c>
      <c r="E12" s="1">
        <f>IFERROR(__xludf.DUMMYFUNCTION("""COMPUTED_VALUE"""),1036.0)</f>
        <v>1036</v>
      </c>
      <c r="F12" s="1"/>
      <c r="G12" s="1"/>
    </row>
    <row r="13">
      <c r="A13" s="1" t="str">
        <f>IFERROR(__xludf.DUMMYFUNCTION("""COMPUTED_VALUE"""),"SF")</f>
        <v>SF</v>
      </c>
      <c r="B13" s="1" t="str">
        <f>IFERROR(__xludf.DUMMYFUNCTION("""COMPUTED_VALUE"""),"Center 2")</f>
        <v>Center 2</v>
      </c>
      <c r="C13" s="1">
        <f>IFERROR(__xludf.DUMMYFUNCTION("""COMPUTED_VALUE"""),1045.0)</f>
        <v>1045</v>
      </c>
      <c r="D13" s="2">
        <f>IFERROR(__xludf.DUMMYFUNCTION("""COMPUTED_VALUE"""),0.4479166666666667)</f>
        <v>0.4479166667</v>
      </c>
      <c r="E13" s="1">
        <f>IFERROR(__xludf.DUMMYFUNCTION("""COMPUTED_VALUE"""),1051.0)</f>
        <v>1051</v>
      </c>
      <c r="F13" s="1">
        <f>IFERROR(__xludf.DUMMYFUNCTION("""COMPUTED_VALUE"""),949.0)</f>
        <v>949</v>
      </c>
      <c r="G13" s="1" t="str">
        <f>IFERROR(__xludf.DUMMYFUNCTION("""COMPUTED_VALUE"""),"Now in Color")</f>
        <v>Now in Color</v>
      </c>
    </row>
    <row r="14">
      <c r="A14" s="1" t="str">
        <f>IFERROR(__xludf.DUMMYFUNCTION("""COMPUTED_VALUE"""),"SF")</f>
        <v>SF</v>
      </c>
      <c r="B14" s="1" t="str">
        <f>IFERROR(__xludf.DUMMYFUNCTION("""COMPUTED_VALUE"""),"Center 2")</f>
        <v>Center 2</v>
      </c>
      <c r="C14" s="1">
        <f>IFERROR(__xludf.DUMMYFUNCTION("""COMPUTED_VALUE"""),1050.0)</f>
        <v>1050</v>
      </c>
      <c r="D14" s="2">
        <f>IFERROR(__xludf.DUMMYFUNCTION("""COMPUTED_VALUE"""),0.4513888888888889)</f>
        <v>0.4513888889</v>
      </c>
      <c r="E14" s="1"/>
      <c r="F14" s="1" t="str">
        <f>IFERROR(__xludf.DUMMYFUNCTION("""COMPUTED_VALUE"""),"BREAK")</f>
        <v>BREAK</v>
      </c>
      <c r="G14" s="1"/>
    </row>
    <row r="15">
      <c r="A15" s="1" t="str">
        <f>IFERROR(__xludf.DUMMYFUNCTION("""COMPUTED_VALUE"""),"SF")</f>
        <v>SF</v>
      </c>
      <c r="B15" s="1" t="str">
        <f>IFERROR(__xludf.DUMMYFUNCTION("""COMPUTED_VALUE"""),"Center 2")</f>
        <v>Center 2</v>
      </c>
      <c r="C15" s="1">
        <f>IFERROR(__xludf.DUMMYFUNCTION("""COMPUTED_VALUE"""),1100.0)</f>
        <v>1100</v>
      </c>
      <c r="D15" s="2">
        <f>IFERROR(__xludf.DUMMYFUNCTION("""COMPUTED_VALUE"""),0.46875)</f>
        <v>0.46875</v>
      </c>
      <c r="E15" s="1">
        <f>IFERROR(__xludf.DUMMYFUNCTION("""COMPUTED_VALUE"""),1106.0)</f>
        <v>1106</v>
      </c>
      <c r="F15" s="1">
        <f>IFERROR(__xludf.DUMMYFUNCTION("""COMPUTED_VALUE"""),253.0)</f>
        <v>253</v>
      </c>
      <c r="G15" s="1" t="str">
        <f>IFERROR(__xludf.DUMMYFUNCTION("""COMPUTED_VALUE"""),"The Decision")</f>
        <v>The Decision</v>
      </c>
    </row>
    <row r="16">
      <c r="A16" s="1" t="str">
        <f>IFERROR(__xludf.DUMMYFUNCTION("""COMPUTED_VALUE"""),"SF")</f>
        <v>SF</v>
      </c>
      <c r="B16" s="1" t="str">
        <f>IFERROR(__xludf.DUMMYFUNCTION("""COMPUTED_VALUE"""),"Center 2")</f>
        <v>Center 2</v>
      </c>
      <c r="C16" s="1">
        <f>IFERROR(__xludf.DUMMYFUNCTION("""COMPUTED_VALUE"""),1115.0)</f>
        <v>1115</v>
      </c>
      <c r="D16" s="2">
        <f>IFERROR(__xludf.DUMMYFUNCTION("""COMPUTED_VALUE"""),0.46875)</f>
        <v>0.46875</v>
      </c>
      <c r="E16" s="1">
        <f>IFERROR(__xludf.DUMMYFUNCTION("""COMPUTED_VALUE"""),1121.0)</f>
        <v>1121</v>
      </c>
      <c r="F16" s="1">
        <f>IFERROR(__xludf.DUMMYFUNCTION("""COMPUTED_VALUE"""),937.0)</f>
        <v>937</v>
      </c>
      <c r="G16" s="1" t="str">
        <f>IFERROR(__xludf.DUMMYFUNCTION("""COMPUTED_VALUE"""),"Party Hardy")</f>
        <v>Party Hardy</v>
      </c>
    </row>
    <row r="17">
      <c r="A17" s="1" t="str">
        <f>IFERROR(__xludf.DUMMYFUNCTION("""COMPUTED_VALUE"""),"SF")</f>
        <v>SF</v>
      </c>
      <c r="B17" s="1" t="str">
        <f>IFERROR(__xludf.DUMMYFUNCTION("""COMPUTED_VALUE"""),"Center 2")</f>
        <v>Center 2</v>
      </c>
      <c r="C17" s="1">
        <f>IFERROR(__xludf.DUMMYFUNCTION("""COMPUTED_VALUE"""),1130.0)</f>
        <v>1130</v>
      </c>
      <c r="D17" s="2">
        <f>IFERROR(__xludf.DUMMYFUNCTION("""COMPUTED_VALUE"""),0.4791666666666667)</f>
        <v>0.4791666667</v>
      </c>
      <c r="E17" s="1">
        <f>IFERROR(__xludf.DUMMYFUNCTION("""COMPUTED_VALUE"""),1136.0)</f>
        <v>1136</v>
      </c>
      <c r="F17" s="1">
        <f>IFERROR(__xludf.DUMMYFUNCTION("""COMPUTED_VALUE"""),948.0)</f>
        <v>948</v>
      </c>
      <c r="G17" s="1" t="str">
        <f>IFERROR(__xludf.DUMMYFUNCTION("""COMPUTED_VALUE"""),"Sabrina, Wake Up ")</f>
        <v>Sabrina, Wake Up </v>
      </c>
    </row>
    <row r="18">
      <c r="A18" s="1" t="str">
        <f>IFERROR(__xludf.DUMMYFUNCTION("""COMPUTED_VALUE"""),"SF")</f>
        <v>SF</v>
      </c>
      <c r="B18" s="1" t="str">
        <f>IFERROR(__xludf.DUMMYFUNCTION("""COMPUTED_VALUE"""),"Center 2")</f>
        <v>Center 2</v>
      </c>
      <c r="C18" s="1">
        <f>IFERROR(__xludf.DUMMYFUNCTION("""COMPUTED_VALUE"""),1135.0)</f>
        <v>1135</v>
      </c>
      <c r="D18" s="2">
        <f>IFERROR(__xludf.DUMMYFUNCTION("""COMPUTED_VALUE"""),0.4826388888888889)</f>
        <v>0.4826388889</v>
      </c>
      <c r="E18" s="1"/>
      <c r="F18" s="1" t="str">
        <f>IFERROR(__xludf.DUMMYFUNCTION("""COMPUTED_VALUE"""),"BREAK")</f>
        <v>BREAK</v>
      </c>
      <c r="G18" s="1"/>
    </row>
    <row r="19">
      <c r="A19" s="1" t="str">
        <f>IFERROR(__xludf.DUMMYFUNCTION("""COMPUTED_VALUE"""),"SF")</f>
        <v>SF</v>
      </c>
      <c r="B19" s="1" t="str">
        <f>IFERROR(__xludf.DUMMYFUNCTION("""COMPUTED_VALUE"""),"Center 2")</f>
        <v>Center 2</v>
      </c>
      <c r="C19" s="1">
        <f>IFERROR(__xludf.DUMMYFUNCTION("""COMPUTED_VALUE"""),1230.0)</f>
        <v>1230</v>
      </c>
      <c r="D19" s="2">
        <f>IFERROR(__xludf.DUMMYFUNCTION("""COMPUTED_VALUE"""),0.5208333333333334)</f>
        <v>0.5208333333</v>
      </c>
      <c r="E19" s="1">
        <f>IFERROR(__xludf.DUMMYFUNCTION("""COMPUTED_VALUE"""),1236.0)</f>
        <v>1236</v>
      </c>
      <c r="F19" s="1">
        <f>IFERROR(__xludf.DUMMYFUNCTION("""COMPUTED_VALUE"""),235.0)</f>
        <v>235</v>
      </c>
      <c r="G19" s="1" t="str">
        <f>IFERROR(__xludf.DUMMYFUNCTION("""COMPUTED_VALUE"""),"Abigail Eyes")</f>
        <v>Abigail Eyes</v>
      </c>
    </row>
    <row r="20">
      <c r="A20" s="1" t="str">
        <f>IFERROR(__xludf.DUMMYFUNCTION("""COMPUTED_VALUE"""),"SF")</f>
        <v>SF</v>
      </c>
      <c r="B20" s="1" t="str">
        <f>IFERROR(__xludf.DUMMYFUNCTION("""COMPUTED_VALUE"""),"Center 2")</f>
        <v>Center 2</v>
      </c>
      <c r="C20" s="1">
        <f>IFERROR(__xludf.DUMMYFUNCTION("""COMPUTED_VALUE"""),1245.0)</f>
        <v>1245</v>
      </c>
      <c r="D20" s="2">
        <f>IFERROR(__xludf.DUMMYFUNCTION("""COMPUTED_VALUE"""),0.53125)</f>
        <v>0.53125</v>
      </c>
      <c r="E20" s="1">
        <f>IFERROR(__xludf.DUMMYFUNCTION("""COMPUTED_VALUE"""),1251.0)</f>
        <v>1251</v>
      </c>
      <c r="F20" s="1">
        <f>IFERROR(__xludf.DUMMYFUNCTION("""COMPUTED_VALUE"""),948.0)</f>
        <v>948</v>
      </c>
      <c r="G20" s="1" t="str">
        <f>IFERROR(__xludf.DUMMYFUNCTION("""COMPUTED_VALUE"""),"Creative Conflict")</f>
        <v>Creative Conflict</v>
      </c>
    </row>
    <row r="21">
      <c r="A21" s="1" t="str">
        <f>IFERROR(__xludf.DUMMYFUNCTION("""COMPUTED_VALUE"""),"SF")</f>
        <v>SF</v>
      </c>
      <c r="B21" s="1" t="str">
        <f>IFERROR(__xludf.DUMMYFUNCTION("""COMPUTED_VALUE"""),"Center 2")</f>
        <v>Center 2</v>
      </c>
      <c r="C21" s="1">
        <f>IFERROR(__xludf.DUMMYFUNCTION("""COMPUTED_VALUE"""),1255.0)</f>
        <v>1255</v>
      </c>
      <c r="D21" s="2">
        <f>IFERROR(__xludf.DUMMYFUNCTION("""COMPUTED_VALUE"""),0.5381944444444444)</f>
        <v>0.5381944444</v>
      </c>
      <c r="E21" s="1"/>
      <c r="F21" s="1" t="str">
        <f>IFERROR(__xludf.DUMMYFUNCTION("""COMPUTED_VALUE"""),"BREAK")</f>
        <v>BREAK</v>
      </c>
      <c r="G21" s="1"/>
    </row>
    <row r="22">
      <c r="A22" s="1" t="str">
        <f>IFERROR(__xludf.DUMMYFUNCTION("""COMPUTED_VALUE"""),"SF")</f>
        <v>SF</v>
      </c>
      <c r="B22" s="1" t="str">
        <f>IFERROR(__xludf.DUMMYFUNCTION("""COMPUTED_VALUE"""),"Center 2")</f>
        <v>Center 2</v>
      </c>
      <c r="C22" s="1">
        <f>IFERROR(__xludf.DUMMYFUNCTION("""COMPUTED_VALUE"""),1300.0)</f>
        <v>1300</v>
      </c>
      <c r="D22" s="2">
        <f>IFERROR(__xludf.DUMMYFUNCTION("""COMPUTED_VALUE"""),0.5416666666666666)</f>
        <v>0.5416666667</v>
      </c>
      <c r="E22" s="1">
        <f>IFERROR(__xludf.DUMMYFUNCTION("""COMPUTED_VALUE"""),1306.0)</f>
        <v>1306</v>
      </c>
      <c r="F22" s="1">
        <f>IFERROR(__xludf.DUMMYFUNCTION("""COMPUTED_VALUE"""),233.0)</f>
        <v>233</v>
      </c>
      <c r="G22" s="1" t="str">
        <f>IFERROR(__xludf.DUMMYFUNCTION("""COMPUTED_VALUE"""),"The Beginning of the End")</f>
        <v>The Beginning of the End</v>
      </c>
    </row>
    <row r="23">
      <c r="A23" s="1" t="str">
        <f>IFERROR(__xludf.DUMMYFUNCTION("""COMPUTED_VALUE"""),"SF")</f>
        <v>SF</v>
      </c>
      <c r="B23" s="1" t="str">
        <f>IFERROR(__xludf.DUMMYFUNCTION("""COMPUTED_VALUE"""),"Center 2")</f>
        <v>Center 2</v>
      </c>
      <c r="C23" s="1">
        <f>IFERROR(__xludf.DUMMYFUNCTION("""COMPUTED_VALUE"""),1315.0)</f>
        <v>1315</v>
      </c>
      <c r="D23" s="2">
        <f>IFERROR(__xludf.DUMMYFUNCTION("""COMPUTED_VALUE"""),0.5625)</f>
        <v>0.5625</v>
      </c>
      <c r="E23" s="1">
        <f>IFERROR(__xludf.DUMMYFUNCTION("""COMPUTED_VALUE"""),1321.0)</f>
        <v>1321</v>
      </c>
      <c r="F23" s="1">
        <f>IFERROR(__xludf.DUMMYFUNCTION("""COMPUTED_VALUE"""),948.0)</f>
        <v>948</v>
      </c>
      <c r="G23" s="1" t="str">
        <f>IFERROR(__xludf.DUMMYFUNCTION("""COMPUTED_VALUE"""),"All I Could Do ")</f>
        <v>All I Could Do </v>
      </c>
    </row>
    <row r="24">
      <c r="A24" s="1" t="str">
        <f>IFERROR(__xludf.DUMMYFUNCTION("""COMPUTED_VALUE"""),"SF")</f>
        <v>SF</v>
      </c>
      <c r="B24" s="1" t="str">
        <f>IFERROR(__xludf.DUMMYFUNCTION("""COMPUTED_VALUE"""),"Center 2")</f>
        <v>Center 2</v>
      </c>
      <c r="C24" s="1">
        <f>IFERROR(__xludf.DUMMYFUNCTION("""COMPUTED_VALUE"""),1330.0)</f>
        <v>1330</v>
      </c>
      <c r="D24" s="2">
        <f>IFERROR(__xludf.DUMMYFUNCTION("""COMPUTED_VALUE"""),0.5625)</f>
        <v>0.5625</v>
      </c>
      <c r="E24" s="1">
        <f>IFERROR(__xludf.DUMMYFUNCTION("""COMPUTED_VALUE"""),1336.0)</f>
        <v>1336</v>
      </c>
      <c r="F24" s="1">
        <f>IFERROR(__xludf.DUMMYFUNCTION("""COMPUTED_VALUE"""),937.0)</f>
        <v>937</v>
      </c>
      <c r="G24" s="1" t="str">
        <f>IFERROR(__xludf.DUMMYFUNCTION("""COMPUTED_VALUE"""),"Horror Movie")</f>
        <v>Horror Movie</v>
      </c>
    </row>
    <row r="25">
      <c r="A25" s="1" t="str">
        <f>IFERROR(__xludf.DUMMYFUNCTION("""COMPUTED_VALUE"""),"SF")</f>
        <v>SF</v>
      </c>
      <c r="B25" s="1" t="str">
        <f>IFERROR(__xludf.DUMMYFUNCTION("""COMPUTED_VALUE"""),"Center 2")</f>
        <v>Center 2</v>
      </c>
      <c r="C25" s="1">
        <f>IFERROR(__xludf.DUMMYFUNCTION("""COMPUTED_VALUE"""),1345.0)</f>
        <v>1345</v>
      </c>
      <c r="D25" s="2">
        <f>IFERROR(__xludf.DUMMYFUNCTION("""COMPUTED_VALUE"""),0.5729166666666666)</f>
        <v>0.5729166667</v>
      </c>
      <c r="E25" s="1">
        <f>IFERROR(__xludf.DUMMYFUNCTION("""COMPUTED_VALUE"""),1351.0)</f>
        <v>1351</v>
      </c>
      <c r="F25" s="1">
        <f>IFERROR(__xludf.DUMMYFUNCTION("""COMPUTED_VALUE"""),112.0)</f>
        <v>112</v>
      </c>
      <c r="G25" s="1" t="str">
        <f>IFERROR(__xludf.DUMMYFUNCTION("""COMPUTED_VALUE"""),"*Unknown*")</f>
        <v>*Unknown*</v>
      </c>
    </row>
    <row r="26">
      <c r="A26" s="1" t="str">
        <f>IFERROR(__xludf.DUMMYFUNCTION("""COMPUTED_VALUE"""),"EA")</f>
        <v>EA</v>
      </c>
      <c r="B26" s="1" t="str">
        <f>IFERROR(__xludf.DUMMYFUNCTION("""COMPUTED_VALUE"""),"Center 2")</f>
        <v>Center 2</v>
      </c>
      <c r="C26" s="1">
        <f>IFERROR(__xludf.DUMMYFUNCTION("""COMPUTED_VALUE"""),1355.0)</f>
        <v>1355</v>
      </c>
      <c r="D26" s="2">
        <f>IFERROR(__xludf.DUMMYFUNCTION("""COMPUTED_VALUE"""),0.5798611111111112)</f>
        <v>0.5798611111</v>
      </c>
      <c r="E26" s="1"/>
      <c r="F26" s="1" t="str">
        <f>IFERROR(__xludf.DUMMYFUNCTION("""COMPUTED_VALUE"""),"BREAK")</f>
        <v>BREAK</v>
      </c>
      <c r="G26" s="1"/>
    </row>
    <row r="27">
      <c r="A27" s="1" t="str">
        <f>IFERROR(__xludf.DUMMYFUNCTION("""COMPUTED_VALUE"""),"EA")</f>
        <v>EA</v>
      </c>
      <c r="B27" s="1" t="str">
        <f>IFERROR(__xludf.DUMMYFUNCTION("""COMPUTED_VALUE"""),"Center 2")</f>
        <v>Center 2</v>
      </c>
      <c r="C27" s="1">
        <f>IFERROR(__xludf.DUMMYFUNCTION("""COMPUTED_VALUE"""),1400.0)</f>
        <v>1400</v>
      </c>
      <c r="D27" s="2">
        <f>IFERROR(__xludf.DUMMYFUNCTION("""COMPUTED_VALUE"""),0.5833333333333334)</f>
        <v>0.5833333333</v>
      </c>
      <c r="E27" s="1">
        <f>IFERROR(__xludf.DUMMYFUNCTION("""COMPUTED_VALUE"""),1415.0)</f>
        <v>1415</v>
      </c>
      <c r="F27" s="1">
        <f>IFERROR(__xludf.DUMMYFUNCTION("""COMPUTED_VALUE"""),745.0)</f>
        <v>745</v>
      </c>
      <c r="G27" s="1" t="str">
        <f>IFERROR(__xludf.DUMMYFUNCTION("""COMPUTED_VALUE"""),"Banned from Student Activities")</f>
        <v>Banned from Student Activities</v>
      </c>
    </row>
    <row r="28">
      <c r="A28" s="1" t="str">
        <f>IFERROR(__xludf.DUMMYFUNCTION("""COMPUTED_VALUE"""),"EA")</f>
        <v>EA</v>
      </c>
      <c r="B28" s="1" t="str">
        <f>IFERROR(__xludf.DUMMYFUNCTION("""COMPUTED_VALUE"""),"Center 2")</f>
        <v>Center 2</v>
      </c>
      <c r="C28" s="1">
        <f>IFERROR(__xludf.DUMMYFUNCTION("""COMPUTED_VALUE"""),1420.0)</f>
        <v>1420</v>
      </c>
      <c r="D28" s="2">
        <f>IFERROR(__xludf.DUMMYFUNCTION("""COMPUTED_VALUE"""),0.5972222222222222)</f>
        <v>0.5972222222</v>
      </c>
      <c r="E28" s="1">
        <f>IFERROR(__xludf.DUMMYFUNCTION("""COMPUTED_VALUE"""),1435.0)</f>
        <v>1435</v>
      </c>
      <c r="F28" s="1">
        <f>IFERROR(__xludf.DUMMYFUNCTION("""COMPUTED_VALUE"""),153.0)</f>
        <v>153</v>
      </c>
      <c r="G28" s="1" t="str">
        <f>IFERROR(__xludf.DUMMYFUNCTION("""COMPUTED_VALUE"""),"Last-Minute Adjustments")</f>
        <v>Last-Minute Adjustments</v>
      </c>
    </row>
    <row r="29">
      <c r="A29" s="1" t="str">
        <f>IFERROR(__xludf.DUMMYFUNCTION("""COMPUTED_VALUE"""),"EA")</f>
        <v>EA</v>
      </c>
      <c r="B29" s="1" t="str">
        <f>IFERROR(__xludf.DUMMYFUNCTION("""COMPUTED_VALUE"""),"Center 2")</f>
        <v>Center 2</v>
      </c>
      <c r="C29" s="1">
        <f>IFERROR(__xludf.DUMMYFUNCTION("""COMPUTED_VALUE"""),1440.0)</f>
        <v>1440</v>
      </c>
      <c r="D29" s="2">
        <f>IFERROR(__xludf.DUMMYFUNCTION("""COMPUTED_VALUE"""),0.6111111111111112)</f>
        <v>0.6111111111</v>
      </c>
      <c r="E29" s="1">
        <f>IFERROR(__xludf.DUMMYFUNCTION("""COMPUTED_VALUE"""),1455.0)</f>
        <v>1455</v>
      </c>
      <c r="F29" s="1">
        <f>IFERROR(__xludf.DUMMYFUNCTION("""COMPUTED_VALUE"""),633.0)</f>
        <v>633</v>
      </c>
      <c r="G29" s="1" t="str">
        <f>IFERROR(__xludf.DUMMYFUNCTION("""COMPUTED_VALUE"""),"Doctors Orders")</f>
        <v>Doctors Orders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10.86"/>
    <col customWidth="1" min="3" max="3" width="7.86"/>
    <col customWidth="1" min="5" max="5" width="6.86"/>
    <col customWidth="1" min="7" max="7" width="44.43"/>
  </cols>
  <sheetData>
    <row r="1">
      <c r="A1" s="1" t="str">
        <f>IFERROR(__xludf.DUMMYFUNCTION("IMPORTRANGE(""https://docs.google.com/spreadsheets/d/1PHiz0I6v3EHBf7Pv8Pgf6mobEMX6t4_SrMKOz1XC7KE/edit#gid=1202109247"",""Center 3 RB/TV!A1:E30"")"),"Category")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3 RB/TV!G1:H30"")"),"Code")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IFERROR(__xludf.DUMMYFUNCTION("""COMPUTED_VALUE"""),"RB")</f>
        <v>RB</v>
      </c>
      <c r="B2" s="1" t="str">
        <f>IFERROR(__xludf.DUMMYFUNCTION("""COMPUTED_VALUE"""),"Center 3")</f>
        <v>Center 3</v>
      </c>
      <c r="C2" s="1">
        <f>IFERROR(__xludf.DUMMYFUNCTION("""COMPUTED_VALUE"""),800.0)</f>
        <v>800</v>
      </c>
      <c r="D2" s="2">
        <f>IFERROR(__xludf.DUMMYFUNCTION("""COMPUTED_VALUE"""),0.3333333333333333)</f>
        <v>0.3333333333</v>
      </c>
      <c r="E2" s="1">
        <f>IFERROR(__xludf.DUMMYFUNCTION("""COMPUTED_VALUE"""),806.0)</f>
        <v>806</v>
      </c>
      <c r="F2" s="1">
        <f>IFERROR(__xludf.DUMMYFUNCTION("""COMPUTED_VALUE"""),967.0)</f>
        <v>967</v>
      </c>
      <c r="G2" s="1" t="str">
        <f>IFERROR(__xludf.DUMMYFUNCTION("""COMPUTED_VALUE"""),"TBD")</f>
        <v>TBD</v>
      </c>
    </row>
    <row r="3">
      <c r="A3" s="1" t="str">
        <f>IFERROR(__xludf.DUMMYFUNCTION("""COMPUTED_VALUE"""),"RB")</f>
        <v>RB</v>
      </c>
      <c r="B3" s="1" t="str">
        <f>IFERROR(__xludf.DUMMYFUNCTION("""COMPUTED_VALUE"""),"Center 3")</f>
        <v>Center 3</v>
      </c>
      <c r="C3" s="1">
        <f>IFERROR(__xludf.DUMMYFUNCTION("""COMPUTED_VALUE"""),810.0)</f>
        <v>810</v>
      </c>
      <c r="D3" s="2">
        <f>IFERROR(__xludf.DUMMYFUNCTION("""COMPUTED_VALUE"""),0.3402777777777778)</f>
        <v>0.3402777778</v>
      </c>
      <c r="E3" s="1">
        <f>IFERROR(__xludf.DUMMYFUNCTION("""COMPUTED_VALUE"""),816.0)</f>
        <v>816</v>
      </c>
      <c r="F3" s="1"/>
      <c r="G3" s="1"/>
    </row>
    <row r="4">
      <c r="A4" s="1" t="str">
        <f>IFERROR(__xludf.DUMMYFUNCTION("""COMPUTED_VALUE"""),"RB")</f>
        <v>RB</v>
      </c>
      <c r="B4" s="1" t="str">
        <f>IFERROR(__xludf.DUMMYFUNCTION("""COMPUTED_VALUE"""),"Center 3")</f>
        <v>Center 3</v>
      </c>
      <c r="C4" s="1">
        <f>IFERROR(__xludf.DUMMYFUNCTION("""COMPUTED_VALUE"""),820.0)</f>
        <v>820</v>
      </c>
      <c r="D4" s="2">
        <f>IFERROR(__xludf.DUMMYFUNCTION("""COMPUTED_VALUE"""),0.3472222222222222)</f>
        <v>0.3472222222</v>
      </c>
      <c r="E4" s="1">
        <f>IFERROR(__xludf.DUMMYFUNCTION("""COMPUTED_VALUE"""),826.0)</f>
        <v>826</v>
      </c>
      <c r="F4" s="1">
        <f>IFERROR(__xludf.DUMMYFUNCTION("""COMPUTED_VALUE"""),563.0)</f>
        <v>563</v>
      </c>
      <c r="G4" s="1" t="str">
        <f>IFERROR(__xludf.DUMMYFUNCTION("""COMPUTED_VALUE"""),"NTOG")</f>
        <v>NTOG</v>
      </c>
    </row>
    <row r="5">
      <c r="A5" s="1" t="str">
        <f>IFERROR(__xludf.DUMMYFUNCTION("""COMPUTED_VALUE"""),"RB")</f>
        <v>RB</v>
      </c>
      <c r="B5" s="1" t="str">
        <f>IFERROR(__xludf.DUMMYFUNCTION("""COMPUTED_VALUE"""),"Center 3")</f>
        <v>Center 3</v>
      </c>
      <c r="C5" s="1">
        <f>IFERROR(__xludf.DUMMYFUNCTION("""COMPUTED_VALUE"""),830.0)</f>
        <v>830</v>
      </c>
      <c r="D5" s="2">
        <f>IFERROR(__xludf.DUMMYFUNCTION("""COMPUTED_VALUE"""),0.3541666666666667)</f>
        <v>0.3541666667</v>
      </c>
      <c r="E5" s="1">
        <f>IFERROR(__xludf.DUMMYFUNCTION("""COMPUTED_VALUE"""),836.0)</f>
        <v>836</v>
      </c>
      <c r="F5" s="1">
        <f>IFERROR(__xludf.DUMMYFUNCTION("""COMPUTED_VALUE"""),948.0)</f>
        <v>948</v>
      </c>
      <c r="G5" s="1" t="str">
        <f>IFERROR(__xludf.DUMMYFUNCTION("""COMPUTED_VALUE"""),"BTG Radio")</f>
        <v>BTG Radio</v>
      </c>
    </row>
    <row r="6">
      <c r="A6" s="1" t="str">
        <f>IFERROR(__xludf.DUMMYFUNCTION("""COMPUTED_VALUE"""),"RB")</f>
        <v>RB</v>
      </c>
      <c r="B6" s="1" t="str">
        <f>IFERROR(__xludf.DUMMYFUNCTION("""COMPUTED_VALUE"""),"Center 3")</f>
        <v>Center 3</v>
      </c>
      <c r="C6" s="1">
        <f>IFERROR(__xludf.DUMMYFUNCTION("""COMPUTED_VALUE"""),840.0)</f>
        <v>840</v>
      </c>
      <c r="D6" s="2">
        <f>IFERROR(__xludf.DUMMYFUNCTION("""COMPUTED_VALUE"""),0.3611111111111111)</f>
        <v>0.3611111111</v>
      </c>
      <c r="E6" s="1">
        <f>IFERROR(__xludf.DUMMYFUNCTION("""COMPUTED_VALUE"""),846.0)</f>
        <v>846</v>
      </c>
      <c r="F6" s="1">
        <f>IFERROR(__xludf.DUMMYFUNCTION("""COMPUTED_VALUE"""),623.0)</f>
        <v>623</v>
      </c>
      <c r="G6" s="1" t="str">
        <f>IFERROR(__xludf.DUMMYFUNCTION("""COMPUTED_VALUE"""),"GLAM: Because Beauty is More than Skin-Deep")</f>
        <v>GLAM: Because Beauty is More than Skin-Deep</v>
      </c>
    </row>
    <row r="7">
      <c r="A7" s="1" t="str">
        <f>IFERROR(__xludf.DUMMYFUNCTION("""COMPUTED_VALUE"""),"RB")</f>
        <v>RB</v>
      </c>
      <c r="B7" s="1" t="str">
        <f>IFERROR(__xludf.DUMMYFUNCTION("""COMPUTED_VALUE"""),"Center 3")</f>
        <v>Center 3</v>
      </c>
      <c r="C7" s="1">
        <f>IFERROR(__xludf.DUMMYFUNCTION("""COMPUTED_VALUE"""),850.0)</f>
        <v>850</v>
      </c>
      <c r="D7" s="2">
        <f>IFERROR(__xludf.DUMMYFUNCTION("""COMPUTED_VALUE"""),0.3715277777777778)</f>
        <v>0.3715277778</v>
      </c>
      <c r="E7" s="1"/>
      <c r="F7" s="1" t="str">
        <f>IFERROR(__xludf.DUMMYFUNCTION("""COMPUTED_VALUE"""),"BREAK")</f>
        <v>BREAK</v>
      </c>
      <c r="G7" s="1"/>
    </row>
    <row r="8">
      <c r="A8" s="1" t="str">
        <f>IFERROR(__xludf.DUMMYFUNCTION("""COMPUTED_VALUE"""),"RB")</f>
        <v>RB</v>
      </c>
      <c r="B8" s="1" t="str">
        <f>IFERROR(__xludf.DUMMYFUNCTION("""COMPUTED_VALUE"""),"Center 3")</f>
        <v>Center 3</v>
      </c>
      <c r="C8" s="1">
        <f>IFERROR(__xludf.DUMMYFUNCTION("""COMPUTED_VALUE"""),855.0)</f>
        <v>855</v>
      </c>
      <c r="D8" s="2">
        <f>IFERROR(__xludf.DUMMYFUNCTION("""COMPUTED_VALUE"""),0.3715277777777778)</f>
        <v>0.3715277778</v>
      </c>
      <c r="E8" s="1">
        <f>IFERROR(__xludf.DUMMYFUNCTION("""COMPUTED_VALUE"""),901.0)</f>
        <v>901</v>
      </c>
      <c r="F8" s="1">
        <f>IFERROR(__xludf.DUMMYFUNCTION("""COMPUTED_VALUE"""),812.0)</f>
        <v>812</v>
      </c>
      <c r="G8" s="1" t="str">
        <f>IFERROR(__xludf.DUMMYFUNCTION("""COMPUTED_VALUE"""),"KNEW")</f>
        <v>KNEW</v>
      </c>
    </row>
    <row r="9">
      <c r="A9" s="1" t="str">
        <f>IFERROR(__xludf.DUMMYFUNCTION("""COMPUTED_VALUE"""),"RB")</f>
        <v>RB</v>
      </c>
      <c r="B9" s="1" t="str">
        <f>IFERROR(__xludf.DUMMYFUNCTION("""COMPUTED_VALUE"""),"Center 3")</f>
        <v>Center 3</v>
      </c>
      <c r="C9" s="1">
        <f>IFERROR(__xludf.DUMMYFUNCTION("""COMPUTED_VALUE"""),905.0)</f>
        <v>905</v>
      </c>
      <c r="D9" s="2">
        <f>IFERROR(__xludf.DUMMYFUNCTION("""COMPUTED_VALUE"""),0.3784722222222222)</f>
        <v>0.3784722222</v>
      </c>
      <c r="E9" s="1">
        <f>IFERROR(__xludf.DUMMYFUNCTION("""COMPUTED_VALUE"""),911.0)</f>
        <v>911</v>
      </c>
      <c r="F9" s="1">
        <f>IFERROR(__xludf.DUMMYFUNCTION("""COMPUTED_VALUE"""),948.0)</f>
        <v>948</v>
      </c>
      <c r="G9" s="1" t="str">
        <f>IFERROR(__xludf.DUMMYFUNCTION("""COMPUTED_VALUE"""),"Last Week on Earth")</f>
        <v>Last Week on Earth</v>
      </c>
    </row>
    <row r="10">
      <c r="A10" s="1" t="str">
        <f>IFERROR(__xludf.DUMMYFUNCTION("""COMPUTED_VALUE"""),"RB")</f>
        <v>RB</v>
      </c>
      <c r="B10" s="1" t="str">
        <f>IFERROR(__xludf.DUMMYFUNCTION("""COMPUTED_VALUE"""),"Center 3")</f>
        <v>Center 3</v>
      </c>
      <c r="C10" s="1">
        <f>IFERROR(__xludf.DUMMYFUNCTION("""COMPUTED_VALUE"""),915.0)</f>
        <v>915</v>
      </c>
      <c r="D10" s="2">
        <f>IFERROR(__xludf.DUMMYFUNCTION("""COMPUTED_VALUE"""),0.3854166666666667)</f>
        <v>0.3854166667</v>
      </c>
      <c r="E10" s="1">
        <f>IFERROR(__xludf.DUMMYFUNCTION("""COMPUTED_VALUE"""),921.0)</f>
        <v>921</v>
      </c>
      <c r="F10" s="1">
        <f>IFERROR(__xludf.DUMMYFUNCTION("""COMPUTED_VALUE"""),233.0)</f>
        <v>233</v>
      </c>
      <c r="G10" s="1" t="str">
        <f>IFERROR(__xludf.DUMMYFUNCTION("""COMPUTED_VALUE"""),"RBOG")</f>
        <v>RBOG</v>
      </c>
    </row>
    <row r="11">
      <c r="A11" s="1" t="str">
        <f>IFERROR(__xludf.DUMMYFUNCTION("""COMPUTED_VALUE"""),"RB")</f>
        <v>RB</v>
      </c>
      <c r="B11" s="1" t="str">
        <f>IFERROR(__xludf.DUMMYFUNCTION("""COMPUTED_VALUE"""),"Center 3")</f>
        <v>Center 3</v>
      </c>
      <c r="C11" s="1">
        <f>IFERROR(__xludf.DUMMYFUNCTION("""COMPUTED_VALUE"""),925.0)</f>
        <v>925</v>
      </c>
      <c r="D11" s="2">
        <f>IFERROR(__xludf.DUMMYFUNCTION("""COMPUTED_VALUE"""),0.3923611111111111)</f>
        <v>0.3923611111</v>
      </c>
      <c r="E11" s="1">
        <f>IFERROR(__xludf.DUMMYFUNCTION("""COMPUTED_VALUE"""),931.0)</f>
        <v>931</v>
      </c>
      <c r="F11" s="1">
        <f>IFERROR(__xludf.DUMMYFUNCTION("""COMPUTED_VALUE"""),745.0)</f>
        <v>745</v>
      </c>
      <c r="G11" s="1" t="str">
        <f>IFERROR(__xludf.DUMMYFUNCTION("""COMPUTED_VALUE"""),"PHS Radio")</f>
        <v>PHS Radio</v>
      </c>
    </row>
    <row r="12">
      <c r="A12" s="1" t="str">
        <f>IFERROR(__xludf.DUMMYFUNCTION("""COMPUTED_VALUE"""),"RB")</f>
        <v>RB</v>
      </c>
      <c r="B12" s="1" t="str">
        <f>IFERROR(__xludf.DUMMYFUNCTION("""COMPUTED_VALUE"""),"Center 3")</f>
        <v>Center 3</v>
      </c>
      <c r="C12" s="1">
        <f>IFERROR(__xludf.DUMMYFUNCTION("""COMPUTED_VALUE"""),935.0)</f>
        <v>935</v>
      </c>
      <c r="D12" s="2">
        <f>IFERROR(__xludf.DUMMYFUNCTION("""COMPUTED_VALUE"""),0.3993055555555556)</f>
        <v>0.3993055556</v>
      </c>
      <c r="E12" s="1">
        <f>IFERROR(__xludf.DUMMYFUNCTION("""COMPUTED_VALUE"""),941.0)</f>
        <v>941</v>
      </c>
      <c r="F12" s="1">
        <f>IFERROR(__xludf.DUMMYFUNCTION("""COMPUTED_VALUE"""),929.0)</f>
        <v>929</v>
      </c>
      <c r="G12" s="1" t="str">
        <f>IFERROR(__xludf.DUMMYFUNCTION("""COMPUTED_VALUE"""),"IAA")</f>
        <v>IAA</v>
      </c>
    </row>
    <row r="13">
      <c r="A13" s="1" t="str">
        <f>IFERROR(__xludf.DUMMYFUNCTION("""COMPUTED_VALUE"""),"RB")</f>
        <v>RB</v>
      </c>
      <c r="B13" s="1" t="str">
        <f>IFERROR(__xludf.DUMMYFUNCTION("""COMPUTED_VALUE"""),"Center 3")</f>
        <v>Center 3</v>
      </c>
      <c r="C13" s="1">
        <f>IFERROR(__xludf.DUMMYFUNCTION("""COMPUTED_VALUE"""),945.0)</f>
        <v>945</v>
      </c>
      <c r="D13" s="2">
        <f>IFERROR(__xludf.DUMMYFUNCTION("""COMPUTED_VALUE"""),0.40625)</f>
        <v>0.40625</v>
      </c>
      <c r="E13" s="1"/>
      <c r="F13" s="1" t="str">
        <f>IFERROR(__xludf.DUMMYFUNCTION("""COMPUTED_VALUE"""),"BREAK")</f>
        <v>BREAK</v>
      </c>
      <c r="G13" s="1"/>
    </row>
    <row r="14">
      <c r="A14" s="1" t="str">
        <f>IFERROR(__xludf.DUMMYFUNCTION("""COMPUTED_VALUE"""),"TV")</f>
        <v>TV</v>
      </c>
      <c r="B14" s="1" t="str">
        <f>IFERROR(__xludf.DUMMYFUNCTION("""COMPUTED_VALUE"""),"Center 3")</f>
        <v>Center 3</v>
      </c>
      <c r="C14" s="1">
        <f>IFERROR(__xludf.DUMMYFUNCTION("""COMPUTED_VALUE"""),1000.0)</f>
        <v>1000</v>
      </c>
      <c r="D14" s="2">
        <f>IFERROR(__xludf.DUMMYFUNCTION("""COMPUTED_VALUE"""),0.4166666666666667)</f>
        <v>0.4166666667</v>
      </c>
      <c r="E14" s="1">
        <f>IFERROR(__xludf.DUMMYFUNCTION("""COMPUTED_VALUE"""),1012.0)</f>
        <v>1012</v>
      </c>
      <c r="F14" s="1">
        <f>IFERROR(__xludf.DUMMYFUNCTION("""COMPUTED_VALUE"""),988.0)</f>
        <v>988</v>
      </c>
      <c r="G14" s="1" t="str">
        <f>IFERROR(__xludf.DUMMYFUNCTION("""COMPUTED_VALUE"""),"NEWZ")</f>
        <v>NEWZ</v>
      </c>
    </row>
    <row r="15">
      <c r="A15" s="1" t="str">
        <f>IFERROR(__xludf.DUMMYFUNCTION("""COMPUTED_VALUE"""),"TV")</f>
        <v>TV</v>
      </c>
      <c r="B15" s="1" t="str">
        <f>IFERROR(__xludf.DUMMYFUNCTION("""COMPUTED_VALUE"""),"Center 3")</f>
        <v>Center 3</v>
      </c>
      <c r="C15" s="1">
        <f>IFERROR(__xludf.DUMMYFUNCTION("""COMPUTED_VALUE"""),1015.0)</f>
        <v>1015</v>
      </c>
      <c r="D15" s="2">
        <f>IFERROR(__xludf.DUMMYFUNCTION("""COMPUTED_VALUE"""),0.4270833333333333)</f>
        <v>0.4270833333</v>
      </c>
      <c r="E15" s="1">
        <f>IFERROR(__xludf.DUMMYFUNCTION("""COMPUTED_VALUE"""),1027.0)</f>
        <v>1027</v>
      </c>
      <c r="F15" s="1">
        <f>IFERROR(__xludf.DUMMYFUNCTION("""COMPUTED_VALUE"""),929.0)</f>
        <v>929</v>
      </c>
      <c r="G15" s="1" t="str">
        <f>IFERROR(__xludf.DUMMYFUNCTION("""COMPUTED_VALUE"""),"Channel 4 News")</f>
        <v>Channel 4 News</v>
      </c>
    </row>
    <row r="16">
      <c r="A16" s="1" t="str">
        <f>IFERROR(__xludf.DUMMYFUNCTION("""COMPUTED_VALUE"""),"TV")</f>
        <v>TV</v>
      </c>
      <c r="B16" s="1" t="str">
        <f>IFERROR(__xludf.DUMMYFUNCTION("""COMPUTED_VALUE"""),"Center 3")</f>
        <v>Center 3</v>
      </c>
      <c r="C16" s="1">
        <f>IFERROR(__xludf.DUMMYFUNCTION("""COMPUTED_VALUE"""),1030.0)</f>
        <v>1030</v>
      </c>
      <c r="D16" s="2">
        <f>IFERROR(__xludf.DUMMYFUNCTION("""COMPUTED_VALUE"""),0.4375)</f>
        <v>0.4375</v>
      </c>
      <c r="E16" s="1">
        <f>IFERROR(__xludf.DUMMYFUNCTION("""COMPUTED_VALUE"""),1042.0)</f>
        <v>1042</v>
      </c>
      <c r="F16" s="1">
        <f>IFERROR(__xludf.DUMMYFUNCTION("""COMPUTED_VALUE"""),948.0)</f>
        <v>948</v>
      </c>
      <c r="G16" s="1" t="str">
        <f>IFERROR(__xludf.DUMMYFUNCTION("""COMPUTED_VALUE"""),"ETV")</f>
        <v>ETV</v>
      </c>
    </row>
    <row r="17">
      <c r="A17" s="1" t="str">
        <f>IFERROR(__xludf.DUMMYFUNCTION("""COMPUTED_VALUE"""),"TV")</f>
        <v>TV</v>
      </c>
      <c r="B17" s="1" t="str">
        <f>IFERROR(__xludf.DUMMYFUNCTION("""COMPUTED_VALUE"""),"Center 3")</f>
        <v>Center 3</v>
      </c>
      <c r="C17" s="1">
        <f>IFERROR(__xludf.DUMMYFUNCTION("""COMPUTED_VALUE"""),1045.0)</f>
        <v>1045</v>
      </c>
      <c r="D17" s="2">
        <f>IFERROR(__xludf.DUMMYFUNCTION("""COMPUTED_VALUE"""),0.4479166666666667)</f>
        <v>0.4479166667</v>
      </c>
      <c r="E17" s="1">
        <f>IFERROR(__xludf.DUMMYFUNCTION("""COMPUTED_VALUE"""),1057.0)</f>
        <v>1057</v>
      </c>
      <c r="F17" s="1">
        <f>IFERROR(__xludf.DUMMYFUNCTION("""COMPUTED_VALUE"""),623.0)</f>
        <v>623</v>
      </c>
      <c r="G17" s="1" t="str">
        <f>IFERROR(__xludf.DUMMYFUNCTION("""COMPUTED_VALUE"""),"SEIN")</f>
        <v>SEIN</v>
      </c>
    </row>
    <row r="18">
      <c r="A18" s="1" t="str">
        <f>IFERROR(__xludf.DUMMYFUNCTION("""COMPUTED_VALUE"""),"TV")</f>
        <v>TV</v>
      </c>
      <c r="B18" s="1" t="str">
        <f>IFERROR(__xludf.DUMMYFUNCTION("""COMPUTED_VALUE"""),"Center 3")</f>
        <v>Center 3</v>
      </c>
      <c r="C18" s="1">
        <f>IFERROR(__xludf.DUMMYFUNCTION("""COMPUTED_VALUE"""),1100.0)</f>
        <v>1100</v>
      </c>
      <c r="D18" s="2">
        <f>IFERROR(__xludf.DUMMYFUNCTION("""COMPUTED_VALUE"""),0.46875)</f>
        <v>0.46875</v>
      </c>
      <c r="E18" s="1">
        <f>IFERROR(__xludf.DUMMYFUNCTION("""COMPUTED_VALUE"""),1112.0)</f>
        <v>1112</v>
      </c>
      <c r="F18" s="1">
        <f>IFERROR(__xludf.DUMMYFUNCTION("""COMPUTED_VALUE"""),949.0)</f>
        <v>949</v>
      </c>
      <c r="G18" s="1" t="str">
        <f>IFERROR(__xludf.DUMMYFUNCTION("""COMPUTED_VALUE"""),"NESW")</f>
        <v>NESW</v>
      </c>
    </row>
    <row r="19">
      <c r="A19" s="1" t="str">
        <f>IFERROR(__xludf.DUMMYFUNCTION("""COMPUTED_VALUE"""),"TV")</f>
        <v>TV</v>
      </c>
      <c r="B19" s="1" t="str">
        <f>IFERROR(__xludf.DUMMYFUNCTION("""COMPUTED_VALUE"""),"Center 3")</f>
        <v>Center 3</v>
      </c>
      <c r="C19" s="1">
        <f>IFERROR(__xludf.DUMMYFUNCTION("""COMPUTED_VALUE"""),1115.0)</f>
        <v>1115</v>
      </c>
      <c r="D19" s="2">
        <f>IFERROR(__xludf.DUMMYFUNCTION("""COMPUTED_VALUE"""),0.46875)</f>
        <v>0.46875</v>
      </c>
      <c r="E19" s="1"/>
      <c r="F19" s="1" t="str">
        <f>IFERROR(__xludf.DUMMYFUNCTION("""COMPUTED_VALUE"""),"BREAK")</f>
        <v>BREAK</v>
      </c>
      <c r="G19" s="1"/>
    </row>
    <row r="20">
      <c r="A20" s="1" t="str">
        <f>IFERROR(__xludf.DUMMYFUNCTION("""COMPUTED_VALUE"""),"TV")</f>
        <v>TV</v>
      </c>
      <c r="B20" s="1" t="str">
        <f>IFERROR(__xludf.DUMMYFUNCTION("""COMPUTED_VALUE"""),"Center 3")</f>
        <v>Center 3</v>
      </c>
      <c r="C20" s="1">
        <f>IFERROR(__xludf.DUMMYFUNCTION("""COMPUTED_VALUE"""),1120.0)</f>
        <v>1120</v>
      </c>
      <c r="D20" s="2">
        <f>IFERROR(__xludf.DUMMYFUNCTION("""COMPUTED_VALUE"""),0.4722222222222222)</f>
        <v>0.4722222222</v>
      </c>
      <c r="E20" s="1">
        <f>IFERROR(__xludf.DUMMYFUNCTION("""COMPUTED_VALUE"""),1132.0)</f>
        <v>1132</v>
      </c>
      <c r="F20" s="1">
        <f>IFERROR(__xludf.DUMMYFUNCTION("""COMPUTED_VALUE"""),563.0)</f>
        <v>563</v>
      </c>
      <c r="G20" s="1" t="str">
        <f>IFERROR(__xludf.DUMMYFUNCTION("""COMPUTED_VALUE"""),"KNOW")</f>
        <v>KNOW</v>
      </c>
    </row>
    <row r="21">
      <c r="A21" s="1" t="str">
        <f>IFERROR(__xludf.DUMMYFUNCTION("""COMPUTED_VALUE"""),"TV")</f>
        <v>TV</v>
      </c>
      <c r="B21" s="1" t="str">
        <f>IFERROR(__xludf.DUMMYFUNCTION("""COMPUTED_VALUE"""),"Center 3")</f>
        <v>Center 3</v>
      </c>
      <c r="C21" s="1">
        <f>IFERROR(__xludf.DUMMYFUNCTION("""COMPUTED_VALUE"""),1135.0)</f>
        <v>1135</v>
      </c>
      <c r="D21" s="2">
        <f>IFERROR(__xludf.DUMMYFUNCTION("""COMPUTED_VALUE"""),0.4826388888888889)</f>
        <v>0.4826388889</v>
      </c>
      <c r="E21" s="1">
        <f>IFERROR(__xludf.DUMMYFUNCTION("""COMPUTED_VALUE"""),1147.0)</f>
        <v>1147</v>
      </c>
      <c r="F21" s="1">
        <f>IFERROR(__xludf.DUMMYFUNCTION("""COMPUTED_VALUE"""),773.0)</f>
        <v>773</v>
      </c>
      <c r="G21" s="1" t="str">
        <f>IFERROR(__xludf.DUMMYFUNCTION("""COMPUTED_VALUE"""),"TBD-Grimm TV")</f>
        <v>TBD-Grimm TV</v>
      </c>
    </row>
    <row r="22">
      <c r="A22" s="1" t="str">
        <f>IFERROR(__xludf.DUMMYFUNCTION("""COMPUTED_VALUE"""),"TV")</f>
        <v>TV</v>
      </c>
      <c r="B22" s="1" t="str">
        <f>IFERROR(__xludf.DUMMYFUNCTION("""COMPUTED_VALUE"""),"Center 3")</f>
        <v>Center 3</v>
      </c>
      <c r="C22" s="1">
        <f>IFERROR(__xludf.DUMMYFUNCTION("""COMPUTED_VALUE"""),1150.0)</f>
        <v>1150</v>
      </c>
      <c r="D22" s="2">
        <f>IFERROR(__xludf.DUMMYFUNCTION("""COMPUTED_VALUE"""),0.4930555555555556)</f>
        <v>0.4930555556</v>
      </c>
      <c r="E22" s="1">
        <f>IFERROR(__xludf.DUMMYFUNCTION("""COMPUTED_VALUE"""),1202.0)</f>
        <v>1202</v>
      </c>
      <c r="F22" s="1">
        <f>IFERROR(__xludf.DUMMYFUNCTION("""COMPUTED_VALUE"""),937.0)</f>
        <v>937</v>
      </c>
      <c r="G22" s="1" t="str">
        <f>IFERROR(__xludf.DUMMYFUNCTION("""COMPUTED_VALUE"""),"NA")</f>
        <v>NA</v>
      </c>
    </row>
    <row r="23">
      <c r="A23" s="1" t="str">
        <f>IFERROR(__xludf.DUMMYFUNCTION("""COMPUTED_VALUE"""),"TV")</f>
        <v>TV</v>
      </c>
      <c r="B23" s="1" t="str">
        <f>IFERROR(__xludf.DUMMYFUNCTION("""COMPUTED_VALUE"""),"Center 3")</f>
        <v>Center 3</v>
      </c>
      <c r="C23" s="1">
        <f>IFERROR(__xludf.DUMMYFUNCTION("""COMPUTED_VALUE"""),1205.0)</f>
        <v>1205</v>
      </c>
      <c r="D23" s="2">
        <f>IFERROR(__xludf.DUMMYFUNCTION("""COMPUTED_VALUE"""),0.5034722222222222)</f>
        <v>0.5034722222</v>
      </c>
      <c r="E23" s="1">
        <f>IFERROR(__xludf.DUMMYFUNCTION("""COMPUTED_VALUE"""),1217.0)</f>
        <v>1217</v>
      </c>
      <c r="F23" s="1">
        <f>IFERROR(__xludf.DUMMYFUNCTION("""COMPUTED_VALUE"""),948.0)</f>
        <v>948</v>
      </c>
      <c r="G23" s="1" t="str">
        <f>IFERROR(__xludf.DUMMYFUNCTION("""COMPUTED_VALUE"""),"HELP")</f>
        <v>HELP</v>
      </c>
    </row>
    <row r="24">
      <c r="A24" s="1" t="str">
        <f>IFERROR(__xludf.DUMMYFUNCTION("""COMPUTED_VALUE"""),"TV")</f>
        <v>TV</v>
      </c>
      <c r="B24" s="1" t="str">
        <f>IFERROR(__xludf.DUMMYFUNCTION("""COMPUTED_VALUE"""),"Center 3")</f>
        <v>Center 3</v>
      </c>
      <c r="C24" s="1">
        <f>IFERROR(__xludf.DUMMYFUNCTION("""COMPUTED_VALUE"""),1220.0)</f>
        <v>1220</v>
      </c>
      <c r="D24" s="2">
        <f>IFERROR(__xludf.DUMMYFUNCTION("""COMPUTED_VALUE"""),0.5138888888888888)</f>
        <v>0.5138888889</v>
      </c>
      <c r="E24" s="1">
        <f>IFERROR(__xludf.DUMMYFUNCTION("""COMPUTED_VALUE"""),1232.0)</f>
        <v>1232</v>
      </c>
      <c r="F24" s="1">
        <f>IFERROR(__xludf.DUMMYFUNCTION("""COMPUTED_VALUE"""),623.0)</f>
        <v>623</v>
      </c>
      <c r="G24" s="1" t="str">
        <f>IFERROR(__xludf.DUMMYFUNCTION("""COMPUTED_VALUE"""),"GVG")</f>
        <v>GVG</v>
      </c>
    </row>
    <row r="25">
      <c r="A25" s="1" t="str">
        <f>IFERROR(__xludf.DUMMYFUNCTION("""COMPUTED_VALUE"""),"TV")</f>
        <v>TV</v>
      </c>
      <c r="B25" s="1" t="str">
        <f>IFERROR(__xludf.DUMMYFUNCTION("""COMPUTED_VALUE"""),"Center 3")</f>
        <v>Center 3</v>
      </c>
      <c r="C25" s="1">
        <f>IFERROR(__xludf.DUMMYFUNCTION("""COMPUTED_VALUE"""),1235.0)</f>
        <v>1235</v>
      </c>
      <c r="D25" s="2">
        <f>IFERROR(__xludf.DUMMYFUNCTION("""COMPUTED_VALUE"""),0.5243055555555556)</f>
        <v>0.5243055556</v>
      </c>
      <c r="E25" s="1"/>
      <c r="F25" s="1" t="str">
        <f>IFERROR(__xludf.DUMMYFUNCTION("""COMPUTED_VALUE"""),"BREAK")</f>
        <v>BREAK</v>
      </c>
      <c r="G25" s="1"/>
    </row>
    <row r="26">
      <c r="A26" s="1" t="str">
        <f>IFERROR(__xludf.DUMMYFUNCTION("""COMPUTED_VALUE"""),"RB")</f>
        <v>RB</v>
      </c>
      <c r="B26" s="1" t="str">
        <f>IFERROR(__xludf.DUMMYFUNCTION("""COMPUTED_VALUE"""),"Center 3")</f>
        <v>Center 3</v>
      </c>
      <c r="C26" s="1">
        <f>IFERROR(__xludf.DUMMYFUNCTION("""COMPUTED_VALUE"""),1330.0)</f>
        <v>1330</v>
      </c>
      <c r="D26" s="2">
        <f>IFERROR(__xludf.DUMMYFUNCTION("""COMPUTED_VALUE"""),0.5625)</f>
        <v>0.5625</v>
      </c>
      <c r="E26" s="1">
        <f>IFERROR(__xludf.DUMMYFUNCTION("""COMPUTED_VALUE"""),1336.0)</f>
        <v>1336</v>
      </c>
      <c r="F26" s="1">
        <f>IFERROR(__xludf.DUMMYFUNCTION("""COMPUTED_VALUE"""),235.0)</f>
        <v>235</v>
      </c>
      <c r="G26" s="1">
        <f>IFERROR(__xludf.DUMMYFUNCTION("""COMPUTED_VALUE"""),98.9)</f>
        <v>98.9</v>
      </c>
    </row>
    <row r="27">
      <c r="A27" s="1" t="str">
        <f>IFERROR(__xludf.DUMMYFUNCTION("""COMPUTED_VALUE"""),"RB")</f>
        <v>RB</v>
      </c>
      <c r="B27" s="1" t="str">
        <f>IFERROR(__xludf.DUMMYFUNCTION("""COMPUTED_VALUE"""),"Center 3")</f>
        <v>Center 3</v>
      </c>
      <c r="C27" s="1">
        <f>IFERROR(__xludf.DUMMYFUNCTION("""COMPUTED_VALUE"""),1340.0)</f>
        <v>1340</v>
      </c>
      <c r="D27" s="2">
        <f>IFERROR(__xludf.DUMMYFUNCTION("""COMPUTED_VALUE"""),0.5763888888888888)</f>
        <v>0.5763888889</v>
      </c>
      <c r="E27" s="1">
        <f>IFERROR(__xludf.DUMMYFUNCTION("""COMPUTED_VALUE"""),1346.0)</f>
        <v>1346</v>
      </c>
      <c r="F27" s="1">
        <f>IFERROR(__xludf.DUMMYFUNCTION("""COMPUTED_VALUE"""),623.0)</f>
        <v>623</v>
      </c>
      <c r="G27" s="1" t="str">
        <f>IFERROR(__xludf.DUMMYFUNCTION("""COMPUTED_VALUE"""),"KRAB")</f>
        <v>KRAB</v>
      </c>
    </row>
    <row r="28">
      <c r="A28" s="1" t="str">
        <f>IFERROR(__xludf.DUMMYFUNCTION("""COMPUTED_VALUE"""),"RB")</f>
        <v>RB</v>
      </c>
      <c r="B28" s="1" t="str">
        <f>IFERROR(__xludf.DUMMYFUNCTION("""COMPUTED_VALUE"""),"Center 3")</f>
        <v>Center 3</v>
      </c>
      <c r="C28" s="1">
        <f>IFERROR(__xludf.DUMMYFUNCTION("""COMPUTED_VALUE"""),1350.0)</f>
        <v>1350</v>
      </c>
      <c r="D28" s="2">
        <f>IFERROR(__xludf.DUMMYFUNCTION("""COMPUTED_VALUE"""),0.5763888888888888)</f>
        <v>0.5763888889</v>
      </c>
      <c r="E28" s="1">
        <f>IFERROR(__xludf.DUMMYFUNCTION("""COMPUTED_VALUE"""),1356.0)</f>
        <v>1356</v>
      </c>
      <c r="F28" s="1">
        <f>IFERROR(__xludf.DUMMYFUNCTION("""COMPUTED_VALUE"""),948.0)</f>
        <v>948</v>
      </c>
      <c r="G28" s="1" t="str">
        <f>IFERROR(__xludf.DUMMYFUNCTION("""COMPUTED_VALUE"""),"Swept Under the Rug: Secrets of Janitors")</f>
        <v>Swept Under the Rug: Secrets of Janitors</v>
      </c>
    </row>
    <row r="29">
      <c r="A29" s="1" t="str">
        <f>IFERROR(__xludf.DUMMYFUNCTION("""COMPUTED_VALUE"""),"RB")</f>
        <v>RB</v>
      </c>
      <c r="B29" s="1" t="str">
        <f>IFERROR(__xludf.DUMMYFUNCTION("""COMPUTED_VALUE"""),"Center 3")</f>
        <v>Center 3</v>
      </c>
      <c r="C29" s="1">
        <f>IFERROR(__xludf.DUMMYFUNCTION("""COMPUTED_VALUE"""),1400.0)</f>
        <v>1400</v>
      </c>
      <c r="D29" s="2">
        <f>IFERROR(__xludf.DUMMYFUNCTION("""COMPUTED_VALUE"""),0.5833333333333334)</f>
        <v>0.5833333333</v>
      </c>
      <c r="E29" s="1">
        <f>IFERROR(__xludf.DUMMYFUNCTION("""COMPUTED_VALUE"""),1406.0)</f>
        <v>1406</v>
      </c>
      <c r="F29" s="1">
        <f>IFERROR(__xludf.DUMMYFUNCTION("""COMPUTED_VALUE"""),539.0)</f>
        <v>539</v>
      </c>
      <c r="G29" s="1" t="str">
        <f>IFERROR(__xludf.DUMMYFUNCTION("""COMPUTED_VALUE"""),"Off-Brand HP News")</f>
        <v>Off-Brand HP News</v>
      </c>
    </row>
    <row r="30">
      <c r="A30" s="1" t="str">
        <f>IFERROR(__xludf.DUMMYFUNCTION("""COMPUTED_VALUE"""),"RB")</f>
        <v>RB</v>
      </c>
      <c r="B30" s="1" t="str">
        <f>IFERROR(__xludf.DUMMYFUNCTION("""COMPUTED_VALUE"""),"Center 3")</f>
        <v>Center 3</v>
      </c>
      <c r="C30" s="1">
        <f>IFERROR(__xludf.DUMMYFUNCTION("""COMPUTED_VALUE"""),1410.0)</f>
        <v>1410</v>
      </c>
      <c r="D30" s="2">
        <f>IFERROR(__xludf.DUMMYFUNCTION("""COMPUTED_VALUE"""),0.5902777777777778)</f>
        <v>0.5902777778</v>
      </c>
      <c r="E30" s="1">
        <f>IFERROR(__xludf.DUMMYFUNCTION("""COMPUTED_VALUE"""),1416.0)</f>
        <v>1416</v>
      </c>
      <c r="F30" s="1">
        <f>IFERROR(__xludf.DUMMYFUNCTION("""COMPUTED_VALUE"""),812.0)</f>
        <v>812</v>
      </c>
      <c r="G30" s="1" t="str">
        <f>IFERROR(__xludf.DUMMYFUNCTION("""COMPUTED_VALUE"""),"KNOW")</f>
        <v>KNOW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26.29"/>
    <col customWidth="1" min="3" max="3" width="8.57"/>
    <col customWidth="1" min="5" max="5" width="7.86"/>
    <col customWidth="1" min="6" max="6" width="8.0"/>
  </cols>
  <sheetData>
    <row r="1">
      <c r="A1" s="1" t="str">
        <f>IFERROR(__xludf.DUMMYFUNCTION("IMPORTRANGE(""https://docs.google.com/spreadsheets/d/1PHiz0I6v3EHBf7Pv8Pgf6mobEMX6t4_SrMKOz1XC7KE/edit#gid=1202109247"",""Center 4 RT/CR!A1:E30"")"),"Category")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4 RT/CR!G1:H30"")"),"Code")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IFERROR(__xludf.DUMMYFUNCTION("""COMPUTED_VALUE"""),"RT")</f>
        <v>RT</v>
      </c>
      <c r="B2" s="1" t="str">
        <f>IFERROR(__xludf.DUMMYFUNCTION("""COMPUTED_VALUE"""),"Elementary Library Center 4")</f>
        <v>Elementary Library Center 4</v>
      </c>
      <c r="C2" s="1">
        <f>IFERROR(__xludf.DUMMYFUNCTION("""COMPUTED_VALUE"""),730.0)</f>
        <v>730</v>
      </c>
      <c r="D2" s="2">
        <f>IFERROR(__xludf.DUMMYFUNCTION("""COMPUTED_VALUE"""),0.3333333333333333)</f>
        <v>0.3333333333</v>
      </c>
      <c r="E2" s="1">
        <f>IFERROR(__xludf.DUMMYFUNCTION("""COMPUTED_VALUE"""),755.0)</f>
        <v>755</v>
      </c>
      <c r="F2" s="1">
        <f>IFERROR(__xludf.DUMMYFUNCTION("""COMPUTED_VALUE"""),967.0)</f>
        <v>967</v>
      </c>
      <c r="G2" s="1" t="str">
        <f>IFERROR(__xludf.DUMMYFUNCTION("""COMPUTED_VALUE"""),"Crushed")</f>
        <v>Crushed</v>
      </c>
    </row>
    <row r="3">
      <c r="A3" s="1" t="str">
        <f>IFERROR(__xludf.DUMMYFUNCTION("""COMPUTED_VALUE"""),"RT")</f>
        <v>RT</v>
      </c>
      <c r="B3" s="1" t="str">
        <f>IFERROR(__xludf.DUMMYFUNCTION("""COMPUTED_VALUE"""),"Elementary Library Center 4")</f>
        <v>Elementary Library Center 4</v>
      </c>
      <c r="C3" s="1">
        <f>IFERROR(__xludf.DUMMYFUNCTION("""COMPUTED_VALUE"""),800.0)</f>
        <v>800</v>
      </c>
      <c r="D3" s="2">
        <f>IFERROR(__xludf.DUMMYFUNCTION("""COMPUTED_VALUE"""),0.3333333333333333)</f>
        <v>0.3333333333</v>
      </c>
      <c r="E3" s="1">
        <f>IFERROR(__xludf.DUMMYFUNCTION("""COMPUTED_VALUE"""),825.0)</f>
        <v>825</v>
      </c>
      <c r="F3" s="1">
        <f>IFERROR(__xludf.DUMMYFUNCTION("""COMPUTED_VALUE"""),633.0)</f>
        <v>633</v>
      </c>
      <c r="G3" s="1" t="str">
        <f>IFERROR(__xludf.DUMMYFUNCTION("""COMPUTED_VALUE"""),"Small World")</f>
        <v>Small World</v>
      </c>
    </row>
    <row r="4">
      <c r="A4" s="1" t="str">
        <f>IFERROR(__xludf.DUMMYFUNCTION("""COMPUTED_VALUE"""),"CR")</f>
        <v>CR</v>
      </c>
      <c r="B4" s="1" t="str">
        <f>IFERROR(__xludf.DUMMYFUNCTION("""COMPUTED_VALUE"""),"Elementary Library Center 4")</f>
        <v>Elementary Library Center 4</v>
      </c>
      <c r="C4" s="1">
        <f>IFERROR(__xludf.DUMMYFUNCTION("""COMPUTED_VALUE"""),900.0)</f>
        <v>900</v>
      </c>
      <c r="D4" s="2">
        <f>IFERROR(__xludf.DUMMYFUNCTION("""COMPUTED_VALUE"""),0.375)</f>
        <v>0.375</v>
      </c>
      <c r="E4" s="1">
        <f>IFERROR(__xludf.DUMMYFUNCTION("""COMPUTED_VALUE"""),915.0)</f>
        <v>915</v>
      </c>
      <c r="F4" s="1">
        <f>IFERROR(__xludf.DUMMYFUNCTION("""COMPUTED_VALUE"""),868.0)</f>
        <v>868</v>
      </c>
      <c r="G4" s="1" t="str">
        <f>IFERROR(__xludf.DUMMYFUNCTION("""COMPUTED_VALUE"""),"But Wait, Theres More")</f>
        <v>But Wait, Theres More</v>
      </c>
    </row>
    <row r="5">
      <c r="A5" s="1" t="str">
        <f>IFERROR(__xludf.DUMMYFUNCTION("""COMPUTED_VALUE"""),"CR")</f>
        <v>CR</v>
      </c>
      <c r="B5" s="1" t="str">
        <f>IFERROR(__xludf.DUMMYFUNCTION("""COMPUTED_VALUE"""),"Elementary Library Center 4")</f>
        <v>Elementary Library Center 4</v>
      </c>
      <c r="C5" s="1">
        <f>IFERROR(__xludf.DUMMYFUNCTION("""COMPUTED_VALUE"""),920.0)</f>
        <v>920</v>
      </c>
      <c r="D5" s="2">
        <f>IFERROR(__xludf.DUMMYFUNCTION("""COMPUTED_VALUE"""),0.3888888888888889)</f>
        <v>0.3888888889</v>
      </c>
      <c r="E5" s="1">
        <f>IFERROR(__xludf.DUMMYFUNCTION("""COMPUTED_VALUE"""),935.0)</f>
        <v>935</v>
      </c>
      <c r="F5" s="1">
        <f>IFERROR(__xludf.DUMMYFUNCTION("""COMPUTED_VALUE"""),988.0)</f>
        <v>988</v>
      </c>
      <c r="G5" s="1" t="str">
        <f>IFERROR(__xludf.DUMMYFUNCTION("""COMPUTED_VALUE"""),"Stressed")</f>
        <v>Stressed</v>
      </c>
    </row>
    <row r="6">
      <c r="A6" s="1" t="str">
        <f>IFERROR(__xludf.DUMMYFUNCTION("""COMPUTED_VALUE"""),"CR")</f>
        <v>CR</v>
      </c>
      <c r="B6" s="1" t="str">
        <f>IFERROR(__xludf.DUMMYFUNCTION("""COMPUTED_VALUE"""),"Elementary Library Center 4")</f>
        <v>Elementary Library Center 4</v>
      </c>
      <c r="C6" s="1">
        <f>IFERROR(__xludf.DUMMYFUNCTION("""COMPUTED_VALUE"""),940.0)</f>
        <v>940</v>
      </c>
      <c r="D6" s="2">
        <f>IFERROR(__xludf.DUMMYFUNCTION("""COMPUTED_VALUE"""),0.4027777777777778)</f>
        <v>0.4027777778</v>
      </c>
      <c r="E6" s="1">
        <f>IFERROR(__xludf.DUMMYFUNCTION("""COMPUTED_VALUE"""),955.0)</f>
        <v>955</v>
      </c>
      <c r="F6" s="1">
        <f>IFERROR(__xludf.DUMMYFUNCTION("""COMPUTED_VALUE"""),640.0)</f>
        <v>640</v>
      </c>
      <c r="G6" s="1" t="str">
        <f>IFERROR(__xludf.DUMMYFUNCTION("""COMPUTED_VALUE"""),"Seven Sin Island")</f>
        <v>Seven Sin Island</v>
      </c>
    </row>
    <row r="7">
      <c r="A7" s="1" t="str">
        <f>IFERROR(__xludf.DUMMYFUNCTION("""COMPUTED_VALUE"""),"CR")</f>
        <v>CR</v>
      </c>
      <c r="B7" s="1" t="str">
        <f>IFERROR(__xludf.DUMMYFUNCTION("""COMPUTED_VALUE"""),"Elementary Library Center 4")</f>
        <v>Elementary Library Center 4</v>
      </c>
      <c r="C7" s="1">
        <f>IFERROR(__xludf.DUMMYFUNCTION("""COMPUTED_VALUE"""),1000.0)</f>
        <v>1000</v>
      </c>
      <c r="D7" s="2">
        <f>IFERROR(__xludf.DUMMYFUNCTION("""COMPUTED_VALUE"""),0.4166666666666667)</f>
        <v>0.4166666667</v>
      </c>
      <c r="E7" s="1">
        <f>IFERROR(__xludf.DUMMYFUNCTION("""COMPUTED_VALUE"""),1015.0)</f>
        <v>1015</v>
      </c>
      <c r="F7" s="1">
        <f>IFERROR(__xludf.DUMMYFUNCTION("""COMPUTED_VALUE"""),948.0)</f>
        <v>948</v>
      </c>
      <c r="G7" s="1" t="str">
        <f>IFERROR(__xludf.DUMMYFUNCTION("""COMPUTED_VALUE"""),"It Doesnt Have to Be This Way ")</f>
        <v>It Doesnt Have to Be This Way </v>
      </c>
    </row>
    <row r="8">
      <c r="A8" s="1" t="str">
        <f>IFERROR(__xludf.DUMMYFUNCTION("""COMPUTED_VALUE"""),"CR")</f>
        <v>CR</v>
      </c>
      <c r="B8" s="1" t="str">
        <f>IFERROR(__xludf.DUMMYFUNCTION("""COMPUTED_VALUE"""),"Elementary Library Center 4")</f>
        <v>Elementary Library Center 4</v>
      </c>
      <c r="C8" s="1">
        <f>IFERROR(__xludf.DUMMYFUNCTION("""COMPUTED_VALUE"""),1015.0)</f>
        <v>1015</v>
      </c>
      <c r="D8" s="2">
        <f>IFERROR(__xludf.DUMMYFUNCTION("""COMPUTED_VALUE"""),0.5416666666666666)</f>
        <v>0.5416666667</v>
      </c>
      <c r="E8" s="1"/>
      <c r="F8" s="1" t="str">
        <f>IFERROR(__xludf.DUMMYFUNCTION("""COMPUTED_VALUE"""),"BREAK")</f>
        <v>BREAK</v>
      </c>
      <c r="G8" s="1"/>
    </row>
    <row r="9">
      <c r="A9" s="1" t="str">
        <f>IFERROR(__xludf.DUMMYFUNCTION("""COMPUTED_VALUE"""),"RT")</f>
        <v>RT</v>
      </c>
      <c r="B9" s="1" t="str">
        <f>IFERROR(__xludf.DUMMYFUNCTION("""COMPUTED_VALUE"""),"Elementary Library Center 4")</f>
        <v>Elementary Library Center 4</v>
      </c>
      <c r="C9" s="1">
        <f>IFERROR(__xludf.DUMMYFUNCTION("""COMPUTED_VALUE"""),1020.0)</f>
        <v>1020</v>
      </c>
      <c r="D9" s="2">
        <f>IFERROR(__xludf.DUMMYFUNCTION("""COMPUTED_VALUE"""),0.4305555555555556)</f>
        <v>0.4305555556</v>
      </c>
      <c r="E9" s="1">
        <f>IFERROR(__xludf.DUMMYFUNCTION("""COMPUTED_VALUE"""),1045.0)</f>
        <v>1045</v>
      </c>
      <c r="F9" s="1">
        <f>IFERROR(__xludf.DUMMYFUNCTION("""COMPUTED_VALUE"""),563.0)</f>
        <v>563</v>
      </c>
      <c r="G9" s="1" t="str">
        <f>IFERROR(__xludf.DUMMYFUNCTION("""COMPUTED_VALUE"""),"Dupont, Mississippi")</f>
        <v>Dupont, Mississippi</v>
      </c>
    </row>
    <row r="10">
      <c r="A10" s="1" t="str">
        <f>IFERROR(__xludf.DUMMYFUNCTION("""COMPUTED_VALUE"""),"RT")</f>
        <v>RT</v>
      </c>
      <c r="B10" s="1" t="str">
        <f>IFERROR(__xludf.DUMMYFUNCTION("""COMPUTED_VALUE"""),"Elementary Library Center 4")</f>
        <v>Elementary Library Center 4</v>
      </c>
      <c r="C10" s="1">
        <f>IFERROR(__xludf.DUMMYFUNCTION("""COMPUTED_VALUE"""),1110.0)</f>
        <v>1110</v>
      </c>
      <c r="D10" s="2">
        <f>IFERROR(__xludf.DUMMYFUNCTION("""COMPUTED_VALUE"""),0.4652777777777778)</f>
        <v>0.4652777778</v>
      </c>
      <c r="E10" s="1"/>
      <c r="F10" s="1" t="str">
        <f>IFERROR(__xludf.DUMMYFUNCTION("""COMPUTED_VALUE"""),"BREAK")</f>
        <v>BREAK</v>
      </c>
      <c r="G10" s="1"/>
    </row>
    <row r="11">
      <c r="A11" s="1" t="str">
        <f>IFERROR(__xludf.DUMMYFUNCTION("""COMPUTED_VALUE"""),"RT")</f>
        <v>RT</v>
      </c>
      <c r="B11" s="1" t="str">
        <f>IFERROR(__xludf.DUMMYFUNCTION("""COMPUTED_VALUE"""),"Elementary Library Center 4")</f>
        <v>Elementary Library Center 4</v>
      </c>
      <c r="C11" s="1">
        <f>IFERROR(__xludf.DUMMYFUNCTION("""COMPUTED_VALUE"""),1200.0)</f>
        <v>1200</v>
      </c>
      <c r="D11" s="2">
        <f>IFERROR(__xludf.DUMMYFUNCTION("""COMPUTED_VALUE"""),0.5)</f>
        <v>0.5</v>
      </c>
      <c r="E11" s="1">
        <f>IFERROR(__xludf.DUMMYFUNCTION("""COMPUTED_VALUE"""),1225.0)</f>
        <v>1225</v>
      </c>
      <c r="F11" s="1">
        <f>IFERROR(__xludf.DUMMYFUNCTION("""COMPUTED_VALUE"""),868.0)</f>
        <v>868</v>
      </c>
      <c r="G11" s="1" t="str">
        <f>IFERROR(__xludf.DUMMYFUNCTION("""COMPUTED_VALUE"""),"The Perils of Lulu")</f>
        <v>The Perils of Lulu</v>
      </c>
    </row>
    <row r="12">
      <c r="A12" s="1" t="str">
        <f>IFERROR(__xludf.DUMMYFUNCTION("""COMPUTED_VALUE"""),"RT")</f>
        <v>RT</v>
      </c>
      <c r="B12" s="1" t="str">
        <f>IFERROR(__xludf.DUMMYFUNCTION("""COMPUTED_VALUE"""),"Elementary Library Center 4")</f>
        <v>Elementary Library Center 4</v>
      </c>
      <c r="C12" s="1">
        <f>IFERROR(__xludf.DUMMYFUNCTION("""COMPUTED_VALUE"""),1230.0)</f>
        <v>1230</v>
      </c>
      <c r="D12" s="2">
        <f>IFERROR(__xludf.DUMMYFUNCTION("""COMPUTED_VALUE"""),0.5208333333333334)</f>
        <v>0.5208333333</v>
      </c>
      <c r="E12" s="1">
        <f>IFERROR(__xludf.DUMMYFUNCTION("""COMPUTED_VALUE"""),1255.0)</f>
        <v>1255</v>
      </c>
      <c r="F12" s="1">
        <f>IFERROR(__xludf.DUMMYFUNCTION("""COMPUTED_VALUE"""),983.0)</f>
        <v>983</v>
      </c>
      <c r="G12" s="1" t="str">
        <f>IFERROR(__xludf.DUMMYFUNCTION("""COMPUTED_VALUE"""),"Check, Please")</f>
        <v>Check, Please</v>
      </c>
    </row>
    <row r="13">
      <c r="A13" s="1" t="str">
        <f>IFERROR(__xludf.DUMMYFUNCTION("""COMPUTED_VALUE"""),"RT")</f>
        <v>RT</v>
      </c>
      <c r="B13" s="1" t="str">
        <f>IFERROR(__xludf.DUMMYFUNCTION("""COMPUTED_VALUE"""),"Elementary Library Center 4")</f>
        <v>Elementary Library Center 4</v>
      </c>
      <c r="C13" s="1">
        <f>IFERROR(__xludf.DUMMYFUNCTION("""COMPUTED_VALUE"""),1255.0)</f>
        <v>1255</v>
      </c>
      <c r="D13" s="2">
        <f>IFERROR(__xludf.DUMMYFUNCTION("""COMPUTED_VALUE"""),0.5833333333333334)</f>
        <v>0.5833333333</v>
      </c>
      <c r="E13" s="1"/>
      <c r="F13" s="1" t="str">
        <f>IFERROR(__xludf.DUMMYFUNCTION("""COMPUTED_VALUE"""),"BREAK")</f>
        <v>BREAK</v>
      </c>
      <c r="G13" s="1"/>
    </row>
    <row r="14">
      <c r="A14" s="1" t="str">
        <f>IFERROR(__xludf.DUMMYFUNCTION("""COMPUTED_VALUE"""),"CR")</f>
        <v>CR</v>
      </c>
      <c r="B14" s="1" t="str">
        <f>IFERROR(__xludf.DUMMYFUNCTION("""COMPUTED_VALUE"""),"Elementary Library Center 4")</f>
        <v>Elementary Library Center 4</v>
      </c>
      <c r="C14" s="1">
        <f>IFERROR(__xludf.DUMMYFUNCTION("""COMPUTED_VALUE"""),1300.0)</f>
        <v>1300</v>
      </c>
      <c r="D14" s="2">
        <f>IFERROR(__xludf.DUMMYFUNCTION("""COMPUTED_VALUE"""),0.5416666666666666)</f>
        <v>0.5416666667</v>
      </c>
      <c r="E14" s="1">
        <f>IFERROR(__xludf.DUMMYFUNCTION("""COMPUTED_VALUE"""),1315.0)</f>
        <v>1315</v>
      </c>
      <c r="F14" s="1"/>
      <c r="G14" s="1"/>
    </row>
    <row r="15">
      <c r="A15" s="1" t="str">
        <f>IFERROR(__xludf.DUMMYFUNCTION("""COMPUTED_VALUE"""),"CR")</f>
        <v>CR</v>
      </c>
      <c r="B15" s="1" t="str">
        <f>IFERROR(__xludf.DUMMYFUNCTION("""COMPUTED_VALUE"""),"Elementary Library Center 4")</f>
        <v>Elementary Library Center 4</v>
      </c>
      <c r="C15" s="1">
        <f>IFERROR(__xludf.DUMMYFUNCTION("""COMPUTED_VALUE"""),1320.0)</f>
        <v>1320</v>
      </c>
      <c r="D15" s="2">
        <f>IFERROR(__xludf.DUMMYFUNCTION("""COMPUTED_VALUE"""),0.5555555555555556)</f>
        <v>0.5555555556</v>
      </c>
      <c r="E15" s="1">
        <f>IFERROR(__xludf.DUMMYFUNCTION("""COMPUTED_VALUE"""),1335.0)</f>
        <v>1335</v>
      </c>
      <c r="F15" s="1"/>
      <c r="G15" s="1"/>
    </row>
    <row r="16">
      <c r="A16" s="1" t="str">
        <f>IFERROR(__xludf.DUMMYFUNCTION("""COMPUTED_VALUE"""),"CR")</f>
        <v>CR</v>
      </c>
      <c r="B16" s="1" t="str">
        <f>IFERROR(__xludf.DUMMYFUNCTION("""COMPUTED_VALUE"""),"Elementary Library Center 4")</f>
        <v>Elementary Library Center 4</v>
      </c>
      <c r="C16" s="1">
        <f>IFERROR(__xludf.DUMMYFUNCTION("""COMPUTED_VALUE"""),1340.0)</f>
        <v>1340</v>
      </c>
      <c r="D16" s="2">
        <f>IFERROR(__xludf.DUMMYFUNCTION("""COMPUTED_VALUE"""),0.5694444444444444)</f>
        <v>0.5694444444</v>
      </c>
      <c r="E16" s="1">
        <f>IFERROR(__xludf.DUMMYFUNCTION("""COMPUTED_VALUE"""),1355.0)</f>
        <v>1355</v>
      </c>
      <c r="F16" s="1">
        <f>IFERROR(__xludf.DUMMYFUNCTION("""COMPUTED_VALUE"""),977.0)</f>
        <v>977</v>
      </c>
      <c r="G16" s="1" t="str">
        <f>IFERROR(__xludf.DUMMYFUNCTION("""COMPUTED_VALUE"""),"Baby Names")</f>
        <v>Baby Names</v>
      </c>
    </row>
    <row r="17">
      <c r="A17" s="1" t="str">
        <f>IFERROR(__xludf.DUMMYFUNCTION("""COMPUTED_VALUE"""),"CR")</f>
        <v>CR</v>
      </c>
      <c r="B17" s="1" t="str">
        <f>IFERROR(__xludf.DUMMYFUNCTION("""COMPUTED_VALUE"""),"Elementary Library Center 4")</f>
        <v>Elementary Library Center 4</v>
      </c>
      <c r="C17" s="1">
        <f>IFERROR(__xludf.DUMMYFUNCTION("""COMPUTED_VALUE"""),1355.0)</f>
        <v>1355</v>
      </c>
      <c r="D17" s="2">
        <f>IFERROR(__xludf.DUMMYFUNCTION("""COMPUTED_VALUE"""),0.5798611111111112)</f>
        <v>0.5798611111</v>
      </c>
      <c r="E17" s="1"/>
      <c r="F17" s="1" t="str">
        <f>IFERROR(__xludf.DUMMYFUNCTION("""COMPUTED_VALUE"""),"BREAK")</f>
        <v>BREAK</v>
      </c>
      <c r="G17" s="1"/>
    </row>
    <row r="18">
      <c r="A18" s="1" t="str">
        <f>IFERROR(__xludf.DUMMYFUNCTION("""COMPUTED_VALUE"""),"RT")</f>
        <v>RT</v>
      </c>
      <c r="B18" s="1" t="str">
        <f>IFERROR(__xludf.DUMMYFUNCTION("""COMPUTED_VALUE"""),"Elementary Library Center 4")</f>
        <v>Elementary Library Center 4</v>
      </c>
      <c r="C18" s="1">
        <f>IFERROR(__xludf.DUMMYFUNCTION("""COMPUTED_VALUE"""),1400.0)</f>
        <v>1400</v>
      </c>
      <c r="D18" s="2">
        <f>IFERROR(__xludf.DUMMYFUNCTION("""COMPUTED_VALUE"""),0.5833333333333334)</f>
        <v>0.5833333333</v>
      </c>
      <c r="E18" s="1">
        <f>IFERROR(__xludf.DUMMYFUNCTION("""COMPUTED_VALUE"""),1425.0)</f>
        <v>1425</v>
      </c>
      <c r="F18" s="1">
        <f>IFERROR(__xludf.DUMMYFUNCTION("""COMPUTED_VALUE"""),929.0)</f>
        <v>929</v>
      </c>
      <c r="G18" s="1" t="str">
        <f>IFERROR(__xludf.DUMMYFUNCTION("""COMPUTED_VALUE"""),"Duty")</f>
        <v>Duty</v>
      </c>
    </row>
    <row r="19">
      <c r="A19" s="1" t="str">
        <f>IFERROR(__xludf.DUMMYFUNCTION("""COMPUTED_VALUE"""),"RT")</f>
        <v>RT</v>
      </c>
      <c r="B19" s="1" t="str">
        <f>IFERROR(__xludf.DUMMYFUNCTION("""COMPUTED_VALUE"""),"Elementary Library Center 4")</f>
        <v>Elementary Library Center 4</v>
      </c>
      <c r="C19" s="1">
        <f>IFERROR(__xludf.DUMMYFUNCTION("""COMPUTED_VALUE"""),1430.0)</f>
        <v>1430</v>
      </c>
      <c r="D19" s="2">
        <f>IFERROR(__xludf.DUMMYFUNCTION("""COMPUTED_VALUE"""),0.6041666666666666)</f>
        <v>0.6041666667</v>
      </c>
      <c r="E19" s="1">
        <f>IFERROR(__xludf.DUMMYFUNCTION("""COMPUTED_VALUE"""),1455.0)</f>
        <v>1455</v>
      </c>
      <c r="F19" s="1">
        <f>IFERROR(__xludf.DUMMYFUNCTION("""COMPUTED_VALUE"""),949.0)</f>
        <v>949</v>
      </c>
      <c r="G19" s="1" t="str">
        <f>IFERROR(__xludf.DUMMYFUNCTION("""COMPUTED_VALUE"""),"Gold is the new Orange")</f>
        <v>Gold is the new Orange</v>
      </c>
    </row>
    <row r="20">
      <c r="A20" s="1" t="str">
        <f>IFERROR(__xludf.DUMMYFUNCTION("""COMPUTED_VALUE"""),"RT")</f>
        <v>RT</v>
      </c>
      <c r="B20" s="1" t="str">
        <f>IFERROR(__xludf.DUMMYFUNCTION("""COMPUTED_VALUE"""),"Elementary Library Center 4")</f>
        <v>Elementary Library Center 4</v>
      </c>
      <c r="C20" s="1">
        <f>IFERROR(__xludf.DUMMYFUNCTION("""COMPUTED_VALUE"""),1500.0)</f>
        <v>1500</v>
      </c>
      <c r="D20" s="2">
        <f>IFERROR(__xludf.DUMMYFUNCTION("""COMPUTED_VALUE"""),0.625)</f>
        <v>0.625</v>
      </c>
      <c r="E20" s="1">
        <f>IFERROR(__xludf.DUMMYFUNCTION("""COMPUTED_VALUE"""),1525.0)</f>
        <v>1525</v>
      </c>
      <c r="F20" s="1">
        <f>IFERROR(__xludf.DUMMYFUNCTION("""COMPUTED_VALUE"""),948.0)</f>
        <v>948</v>
      </c>
      <c r="G20" s="1" t="str">
        <f>IFERROR(__xludf.DUMMYFUNCTION("""COMPUTED_VALUE"""),"Radium Girls")</f>
        <v>Radium Girls</v>
      </c>
    </row>
    <row r="21">
      <c r="A21" s="1"/>
      <c r="B21" s="1"/>
      <c r="C21" s="1"/>
      <c r="D21" s="1"/>
      <c r="E21" s="1"/>
      <c r="F21" s="1"/>
      <c r="G21" s="1"/>
    </row>
    <row r="22">
      <c r="A22" s="1"/>
      <c r="B22" s="1"/>
      <c r="C22" s="1"/>
      <c r="D22" s="1"/>
      <c r="E22" s="1"/>
      <c r="F22" s="1"/>
      <c r="G22" s="1"/>
    </row>
    <row r="23">
      <c r="A23" s="1"/>
      <c r="B23" s="1"/>
      <c r="C23" s="1"/>
      <c r="D23" s="1"/>
      <c r="E23" s="1"/>
      <c r="F23" s="1"/>
      <c r="G23" s="1"/>
    </row>
    <row r="24">
      <c r="A24" s="1"/>
      <c r="B24" s="1"/>
      <c r="C24" s="1"/>
      <c r="D24" s="1"/>
      <c r="E24" s="1"/>
      <c r="F24" s="1"/>
      <c r="G24" s="1"/>
    </row>
    <row r="25">
      <c r="A25" s="1"/>
      <c r="B25" s="1"/>
      <c r="C25" s="1"/>
      <c r="D25" s="1"/>
      <c r="E25" s="1"/>
      <c r="F25" s="1"/>
      <c r="G25" s="1"/>
    </row>
    <row r="26">
      <c r="A26" s="1"/>
      <c r="B26" s="1"/>
      <c r="C26" s="1"/>
      <c r="D26" s="1"/>
      <c r="E26" s="1"/>
      <c r="F26" s="1"/>
      <c r="G26" s="1"/>
    </row>
    <row r="27">
      <c r="A27" s="1"/>
      <c r="B27" s="1"/>
      <c r="C27" s="1"/>
      <c r="D27" s="1"/>
      <c r="E27" s="1"/>
      <c r="F27" s="1"/>
      <c r="G27" s="1"/>
    </row>
    <row r="28">
      <c r="A28" s="1"/>
      <c r="B28" s="1"/>
      <c r="C28" s="1"/>
      <c r="D28" s="1"/>
      <c r="E28" s="1"/>
      <c r="F28" s="1"/>
      <c r="G28" s="1"/>
    </row>
    <row r="29">
      <c r="A29" s="1"/>
      <c r="B29" s="1"/>
      <c r="C29" s="1"/>
      <c r="D29" s="1"/>
      <c r="E29" s="1"/>
      <c r="F29" s="1"/>
      <c r="G29" s="1"/>
    </row>
    <row r="30">
      <c r="A30" s="1"/>
      <c r="B30" s="1"/>
      <c r="C30" s="1"/>
      <c r="D30" s="1"/>
      <c r="E30" s="1"/>
      <c r="F30" s="1"/>
      <c r="G3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14"/>
    <col customWidth="1" min="2" max="2" width="20.86"/>
    <col customWidth="1" min="3" max="3" width="6.14"/>
    <col customWidth="1" min="5" max="5" width="7.43"/>
    <col customWidth="1" min="6" max="6" width="7.71"/>
  </cols>
  <sheetData>
    <row r="1">
      <c r="A1" s="1" t="str">
        <f>IFERROR(__xludf.DUMMYFUNCTION("IMPORTRANGE(""https://docs.google.com/spreadsheets/d/1PHiz0I6v3EHBf7Pv8Pgf6mobEMX6t4_SrMKOz1XC7KE/edit#gid=1202109247"",""Center 5 MT!A1:E28"")"),"Category")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5 MT!G1:H28"")"),"Code")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IFERROR(__xludf.DUMMYFUNCTION("""COMPUTED_VALUE"""),"MT")</f>
        <v>MT</v>
      </c>
      <c r="B2" s="1" t="str">
        <f>IFERROR(__xludf.DUMMYFUNCTION("""COMPUTED_VALUE"""),"Vocal Room Center 5")</f>
        <v>Vocal Room Center 5</v>
      </c>
      <c r="C2" s="1">
        <f>IFERROR(__xludf.DUMMYFUNCTION("""COMPUTED_VALUE"""),745.0)</f>
        <v>745</v>
      </c>
      <c r="D2" s="2">
        <f>IFERROR(__xludf.DUMMYFUNCTION("""COMPUTED_VALUE"""),0.3229166666666667)</f>
        <v>0.3229166667</v>
      </c>
      <c r="E2" s="1">
        <f>IFERROR(__xludf.DUMMYFUNCTION("""COMPUTED_VALUE"""),755.0)</f>
        <v>755</v>
      </c>
      <c r="F2" s="1">
        <f>IFERROR(__xludf.DUMMYFUNCTION("""COMPUTED_VALUE"""),949.0)</f>
        <v>949</v>
      </c>
      <c r="G2" s="1" t="str">
        <f>IFERROR(__xludf.DUMMYFUNCTION("""COMPUTED_VALUE"""),"Waitress")</f>
        <v>Waitress</v>
      </c>
    </row>
    <row r="3">
      <c r="A3" s="1" t="str">
        <f>IFERROR(__xludf.DUMMYFUNCTION("""COMPUTED_VALUE"""),"MT")</f>
        <v>MT</v>
      </c>
      <c r="B3" s="1" t="str">
        <f>IFERROR(__xludf.DUMMYFUNCTION("""COMPUTED_VALUE"""),"Vocal Room Center 5")</f>
        <v>Vocal Room Center 5</v>
      </c>
      <c r="C3" s="1">
        <f>IFERROR(__xludf.DUMMYFUNCTION("""COMPUTED_VALUE"""),800.0)</f>
        <v>800</v>
      </c>
      <c r="D3" s="2">
        <f>IFERROR(__xludf.DUMMYFUNCTION("""COMPUTED_VALUE"""),0.3333333333333333)</f>
        <v>0.3333333333</v>
      </c>
      <c r="E3" s="1">
        <f>IFERROR(__xludf.DUMMYFUNCTION("""COMPUTED_VALUE"""),810.0)</f>
        <v>810</v>
      </c>
      <c r="F3" s="1">
        <f>IFERROR(__xludf.DUMMYFUNCTION("""COMPUTED_VALUE"""),937.0)</f>
        <v>937</v>
      </c>
      <c r="G3" s="1" t="str">
        <f>IFERROR(__xludf.DUMMYFUNCTION("""COMPUTED_VALUE"""),"Into the Woods")</f>
        <v>Into the Woods</v>
      </c>
    </row>
    <row r="4">
      <c r="A4" s="1" t="str">
        <f>IFERROR(__xludf.DUMMYFUNCTION("""COMPUTED_VALUE"""),"MT")</f>
        <v>MT</v>
      </c>
      <c r="B4" s="1" t="str">
        <f>IFERROR(__xludf.DUMMYFUNCTION("""COMPUTED_VALUE"""),"Vocal Room Center 5")</f>
        <v>Vocal Room Center 5</v>
      </c>
      <c r="C4" s="1">
        <f>IFERROR(__xludf.DUMMYFUNCTION("""COMPUTED_VALUE"""),815.0)</f>
        <v>815</v>
      </c>
      <c r="D4" s="2">
        <f>IFERROR(__xludf.DUMMYFUNCTION("""COMPUTED_VALUE"""),0.34375)</f>
        <v>0.34375</v>
      </c>
      <c r="E4" s="1">
        <f>IFERROR(__xludf.DUMMYFUNCTION("""COMPUTED_VALUE"""),825.0)</f>
        <v>825</v>
      </c>
      <c r="F4" s="1">
        <f>IFERROR(__xludf.DUMMYFUNCTION("""COMPUTED_VALUE"""),235.0)</f>
        <v>235</v>
      </c>
      <c r="G4" s="1" t="str">
        <f>IFERROR(__xludf.DUMMYFUNCTION("""COMPUTED_VALUE"""),"Bonnie &amp; Clyde - Too Late to Turn Back Now")</f>
        <v>Bonnie &amp; Clyde - Too Late to Turn Back Now</v>
      </c>
    </row>
    <row r="5">
      <c r="A5" s="1" t="str">
        <f>IFERROR(__xludf.DUMMYFUNCTION("""COMPUTED_VALUE"""),"MT")</f>
        <v>MT</v>
      </c>
      <c r="B5" s="1" t="str">
        <f>IFERROR(__xludf.DUMMYFUNCTION("""COMPUTED_VALUE"""),"Vocal Room Center 5")</f>
        <v>Vocal Room Center 5</v>
      </c>
      <c r="C5" s="1">
        <f>IFERROR(__xludf.DUMMYFUNCTION("""COMPUTED_VALUE"""),830.0)</f>
        <v>830</v>
      </c>
      <c r="D5" s="2">
        <f>IFERROR(__xludf.DUMMYFUNCTION("""COMPUTED_VALUE"""),0.3645833333333333)</f>
        <v>0.3645833333</v>
      </c>
      <c r="E5" s="1">
        <f>IFERROR(__xludf.DUMMYFUNCTION("""COMPUTED_VALUE"""),840.0)</f>
        <v>840</v>
      </c>
      <c r="F5" s="1">
        <f>IFERROR(__xludf.DUMMYFUNCTION("""COMPUTED_VALUE"""),657.0)</f>
        <v>657</v>
      </c>
      <c r="G5" s="1" t="str">
        <f>IFERROR(__xludf.DUMMYFUNCTION("""COMPUTED_VALUE"""),"Children of Eden")</f>
        <v>Children of Eden</v>
      </c>
    </row>
    <row r="6">
      <c r="A6" s="1" t="str">
        <f>IFERROR(__xludf.DUMMYFUNCTION("""COMPUTED_VALUE"""),"MT")</f>
        <v>MT</v>
      </c>
      <c r="B6" s="1" t="str">
        <f>IFERROR(__xludf.DUMMYFUNCTION("""COMPUTED_VALUE"""),"Vocal Room Center 5")</f>
        <v>Vocal Room Center 5</v>
      </c>
      <c r="C6" s="1">
        <f>IFERROR(__xludf.DUMMYFUNCTION("""COMPUTED_VALUE"""),845.0)</f>
        <v>845</v>
      </c>
      <c r="D6" s="2">
        <f>IFERROR(__xludf.DUMMYFUNCTION("""COMPUTED_VALUE"""),0.3645833333333333)</f>
        <v>0.3645833333</v>
      </c>
      <c r="E6" s="1">
        <f>IFERROR(__xludf.DUMMYFUNCTION("""COMPUTED_VALUE"""),855.0)</f>
        <v>855</v>
      </c>
      <c r="F6" s="1">
        <f>IFERROR(__xludf.DUMMYFUNCTION("""COMPUTED_VALUE"""),948.0)</f>
        <v>948</v>
      </c>
      <c r="G6" s="1" t="str">
        <f>IFERROR(__xludf.DUMMYFUNCTION("""COMPUTED_VALUE"""),"LIttle Women")</f>
        <v>LIttle Women</v>
      </c>
    </row>
    <row r="7">
      <c r="A7" s="1" t="str">
        <f>IFERROR(__xludf.DUMMYFUNCTION("""COMPUTED_VALUE"""),"MT")</f>
        <v>MT</v>
      </c>
      <c r="B7" s="1" t="str">
        <f>IFERROR(__xludf.DUMMYFUNCTION("""COMPUTED_VALUE"""),"Vocal Room Center 5")</f>
        <v>Vocal Room Center 5</v>
      </c>
      <c r="C7" s="1">
        <f>IFERROR(__xludf.DUMMYFUNCTION("""COMPUTED_VALUE"""),855.0)</f>
        <v>855</v>
      </c>
      <c r="D7" s="2">
        <f>IFERROR(__xludf.DUMMYFUNCTION("""COMPUTED_VALUE"""),0.3715277777777778)</f>
        <v>0.3715277778</v>
      </c>
      <c r="E7" s="1"/>
      <c r="F7" s="1" t="str">
        <f>IFERROR(__xludf.DUMMYFUNCTION("""COMPUTED_VALUE"""),"BREAK")</f>
        <v>BREAK</v>
      </c>
      <c r="G7" s="1"/>
    </row>
    <row r="8">
      <c r="A8" s="1" t="str">
        <f>IFERROR(__xludf.DUMMYFUNCTION("""COMPUTED_VALUE"""),"MT")</f>
        <v>MT</v>
      </c>
      <c r="B8" s="1" t="str">
        <f>IFERROR(__xludf.DUMMYFUNCTION("""COMPUTED_VALUE"""),"Vocal Room Center 5")</f>
        <v>Vocal Room Center 5</v>
      </c>
      <c r="C8" s="1">
        <f>IFERROR(__xludf.DUMMYFUNCTION("""COMPUTED_VALUE"""),900.0)</f>
        <v>900</v>
      </c>
      <c r="D8" s="2">
        <f>IFERROR(__xludf.DUMMYFUNCTION("""COMPUTED_VALUE"""),0.375)</f>
        <v>0.375</v>
      </c>
      <c r="E8" s="1">
        <f>IFERROR(__xludf.DUMMYFUNCTION("""COMPUTED_VALUE"""),910.0)</f>
        <v>910</v>
      </c>
      <c r="F8" s="1">
        <f>IFERROR(__xludf.DUMMYFUNCTION("""COMPUTED_VALUE"""),773.0)</f>
        <v>773</v>
      </c>
      <c r="G8" s="1" t="str">
        <f>IFERROR(__xludf.DUMMYFUNCTION("""COMPUTED_VALUE"""),"Chicago-Cell Block Tango")</f>
        <v>Chicago-Cell Block Tango</v>
      </c>
    </row>
    <row r="9">
      <c r="A9" s="1" t="str">
        <f>IFERROR(__xludf.DUMMYFUNCTION("""COMPUTED_VALUE"""),"MT")</f>
        <v>MT</v>
      </c>
      <c r="B9" s="1" t="str">
        <f>IFERROR(__xludf.DUMMYFUNCTION("""COMPUTED_VALUE"""),"Vocal Room Center 5")</f>
        <v>Vocal Room Center 5</v>
      </c>
      <c r="C9" s="1">
        <f>IFERROR(__xludf.DUMMYFUNCTION("""COMPUTED_VALUE"""),915.0)</f>
        <v>915</v>
      </c>
      <c r="D9" s="2">
        <f>IFERROR(__xludf.DUMMYFUNCTION("""COMPUTED_VALUE"""),0.3854166666666667)</f>
        <v>0.3854166667</v>
      </c>
      <c r="E9" s="1">
        <f>IFERROR(__xludf.DUMMYFUNCTION("""COMPUTED_VALUE"""),925.0)</f>
        <v>925</v>
      </c>
      <c r="F9" s="1"/>
      <c r="G9" s="1"/>
    </row>
    <row r="10">
      <c r="A10" s="1" t="str">
        <f>IFERROR(__xludf.DUMMYFUNCTION("""COMPUTED_VALUE"""),"MT")</f>
        <v>MT</v>
      </c>
      <c r="B10" s="1" t="str">
        <f>IFERROR(__xludf.DUMMYFUNCTION("""COMPUTED_VALUE"""),"Vocal Room Center 5")</f>
        <v>Vocal Room Center 5</v>
      </c>
      <c r="C10" s="1">
        <f>IFERROR(__xludf.DUMMYFUNCTION("""COMPUTED_VALUE"""),930.0)</f>
        <v>930</v>
      </c>
      <c r="D10" s="2">
        <f>IFERROR(__xludf.DUMMYFUNCTION("""COMPUTED_VALUE"""),0.3958333333333333)</f>
        <v>0.3958333333</v>
      </c>
      <c r="E10" s="1">
        <f>IFERROR(__xludf.DUMMYFUNCTION("""COMPUTED_VALUE"""),940.0)</f>
        <v>940</v>
      </c>
      <c r="F10" s="1">
        <f>IFERROR(__xludf.DUMMYFUNCTION("""COMPUTED_VALUE"""),153.0)</f>
        <v>153</v>
      </c>
      <c r="G10" s="1" t="str">
        <f>IFERROR(__xludf.DUMMYFUNCTION("""COMPUTED_VALUE"""),"[title of show]")</f>
        <v>[title of show]</v>
      </c>
    </row>
    <row r="11">
      <c r="A11" s="1" t="str">
        <f>IFERROR(__xludf.DUMMYFUNCTION("""COMPUTED_VALUE"""),"MT")</f>
        <v>MT</v>
      </c>
      <c r="B11" s="1" t="str">
        <f>IFERROR(__xludf.DUMMYFUNCTION("""COMPUTED_VALUE"""),"Vocal Room Center 5")</f>
        <v>Vocal Room Center 5</v>
      </c>
      <c r="C11" s="1">
        <f>IFERROR(__xludf.DUMMYFUNCTION("""COMPUTED_VALUE"""),945.0)</f>
        <v>945</v>
      </c>
      <c r="D11" s="2">
        <f>IFERROR(__xludf.DUMMYFUNCTION("""COMPUTED_VALUE"""),0.40625)</f>
        <v>0.40625</v>
      </c>
      <c r="E11" s="1">
        <f>IFERROR(__xludf.DUMMYFUNCTION("""COMPUTED_VALUE"""),955.0)</f>
        <v>955</v>
      </c>
      <c r="F11" s="1">
        <f>IFERROR(__xludf.DUMMYFUNCTION("""COMPUTED_VALUE"""),949.0)</f>
        <v>949</v>
      </c>
      <c r="G11" s="1" t="str">
        <f>IFERROR(__xludf.DUMMYFUNCTION("""COMPUTED_VALUE"""),"Bring it On")</f>
        <v>Bring it On</v>
      </c>
    </row>
    <row r="12">
      <c r="A12" s="1" t="str">
        <f>IFERROR(__xludf.DUMMYFUNCTION("""COMPUTED_VALUE"""),"MT")</f>
        <v>MT</v>
      </c>
      <c r="B12" s="1" t="str">
        <f>IFERROR(__xludf.DUMMYFUNCTION("""COMPUTED_VALUE"""),"Vocal Room Center 5")</f>
        <v>Vocal Room Center 5</v>
      </c>
      <c r="C12" s="1">
        <f>IFERROR(__xludf.DUMMYFUNCTION("""COMPUTED_VALUE"""),955.0)</f>
        <v>955</v>
      </c>
      <c r="D12" s="2">
        <f>IFERROR(__xludf.DUMMYFUNCTION("""COMPUTED_VALUE"""),0.4131944444444444)</f>
        <v>0.4131944444</v>
      </c>
      <c r="E12" s="1"/>
      <c r="F12" s="1" t="str">
        <f>IFERROR(__xludf.DUMMYFUNCTION("""COMPUTED_VALUE"""),"BREAK")</f>
        <v>BREAK</v>
      </c>
      <c r="G12" s="1"/>
    </row>
    <row r="13">
      <c r="A13" s="1" t="str">
        <f>IFERROR(__xludf.DUMMYFUNCTION("""COMPUTED_VALUE"""),"MT")</f>
        <v>MT</v>
      </c>
      <c r="B13" s="1" t="str">
        <f>IFERROR(__xludf.DUMMYFUNCTION("""COMPUTED_VALUE"""),"Vocal Room Center 5")</f>
        <v>Vocal Room Center 5</v>
      </c>
      <c r="C13" s="1">
        <f>IFERROR(__xludf.DUMMYFUNCTION("""COMPUTED_VALUE"""),1000.0)</f>
        <v>1000</v>
      </c>
      <c r="D13" s="2">
        <f>IFERROR(__xludf.DUMMYFUNCTION("""COMPUTED_VALUE"""),0.4270833333333333)</f>
        <v>0.4270833333</v>
      </c>
      <c r="E13" s="1">
        <f>IFERROR(__xludf.DUMMYFUNCTION("""COMPUTED_VALUE"""),1010.0)</f>
        <v>1010</v>
      </c>
      <c r="F13" s="1">
        <f>IFERROR(__xludf.DUMMYFUNCTION("""COMPUTED_VALUE"""),977.0)</f>
        <v>977</v>
      </c>
      <c r="G13" s="1" t="str">
        <f>IFERROR(__xludf.DUMMYFUNCTION("""COMPUTED_VALUE"""),"Annie")</f>
        <v>Annie</v>
      </c>
    </row>
    <row r="14">
      <c r="A14" s="1" t="str">
        <f>IFERROR(__xludf.DUMMYFUNCTION("""COMPUTED_VALUE"""),"MT")</f>
        <v>MT</v>
      </c>
      <c r="B14" s="1" t="str">
        <f>IFERROR(__xludf.DUMMYFUNCTION("""COMPUTED_VALUE"""),"Vocal Room Center 5")</f>
        <v>Vocal Room Center 5</v>
      </c>
      <c r="C14" s="1">
        <f>IFERROR(__xludf.DUMMYFUNCTION("""COMPUTED_VALUE"""),1015.0)</f>
        <v>1015</v>
      </c>
      <c r="D14" s="2">
        <f>IFERROR(__xludf.DUMMYFUNCTION("""COMPUTED_VALUE"""),0.4270833333333333)</f>
        <v>0.4270833333</v>
      </c>
      <c r="E14" s="1">
        <f>IFERROR(__xludf.DUMMYFUNCTION("""COMPUTED_VALUE"""),1025.0)</f>
        <v>1025</v>
      </c>
      <c r="F14" s="1">
        <f>IFERROR(__xludf.DUMMYFUNCTION("""COMPUTED_VALUE"""),949.0)</f>
        <v>949</v>
      </c>
      <c r="G14" s="1" t="str">
        <f>IFERROR(__xludf.DUMMYFUNCTION("""COMPUTED_VALUE"""),"Anastasia")</f>
        <v>Anastasia</v>
      </c>
    </row>
    <row r="15">
      <c r="A15" s="1" t="str">
        <f>IFERROR(__xludf.DUMMYFUNCTION("""COMPUTED_VALUE"""),"MT")</f>
        <v>MT</v>
      </c>
      <c r="B15" s="1" t="str">
        <f>IFERROR(__xludf.DUMMYFUNCTION("""COMPUTED_VALUE"""),"Vocal Room Center 5")</f>
        <v>Vocal Room Center 5</v>
      </c>
      <c r="C15" s="1">
        <f>IFERROR(__xludf.DUMMYFUNCTION("""COMPUTED_VALUE"""),1030.0)</f>
        <v>1030</v>
      </c>
      <c r="D15" s="2">
        <f>IFERROR(__xludf.DUMMYFUNCTION("""COMPUTED_VALUE"""),0.4375)</f>
        <v>0.4375</v>
      </c>
      <c r="E15" s="1">
        <f>IFERROR(__xludf.DUMMYFUNCTION("""COMPUTED_VALUE"""),1040.0)</f>
        <v>1040</v>
      </c>
      <c r="F15" s="1">
        <f>IFERROR(__xludf.DUMMYFUNCTION("""COMPUTED_VALUE"""),153.0)</f>
        <v>153</v>
      </c>
      <c r="G15" s="1" t="str">
        <f>IFERROR(__xludf.DUMMYFUNCTION("""COMPUTED_VALUE"""),"Vanities")</f>
        <v>Vanities</v>
      </c>
    </row>
    <row r="16">
      <c r="A16" s="1" t="str">
        <f>IFERROR(__xludf.DUMMYFUNCTION("""COMPUTED_VALUE"""),"MT")</f>
        <v>MT</v>
      </c>
      <c r="B16" s="1" t="str">
        <f>IFERROR(__xludf.DUMMYFUNCTION("""COMPUTED_VALUE"""),"Vocal Room Center 5")</f>
        <v>Vocal Room Center 5</v>
      </c>
      <c r="C16" s="1">
        <f>IFERROR(__xludf.DUMMYFUNCTION("""COMPUTED_VALUE"""),1045.0)</f>
        <v>1045</v>
      </c>
      <c r="D16" s="2">
        <f>IFERROR(__xludf.DUMMYFUNCTION("""COMPUTED_VALUE"""),0.4479166666666667)</f>
        <v>0.4479166667</v>
      </c>
      <c r="E16" s="1">
        <f>IFERROR(__xludf.DUMMYFUNCTION("""COMPUTED_VALUE"""),1055.0)</f>
        <v>1055</v>
      </c>
      <c r="F16" s="1">
        <f>IFERROR(__xludf.DUMMYFUNCTION("""COMPUTED_VALUE"""),759.0)</f>
        <v>759</v>
      </c>
      <c r="G16" s="1" t="str">
        <f>IFERROR(__xludf.DUMMYFUNCTION("""COMPUTED_VALUE"""),"West Side Story")</f>
        <v>West Side Story</v>
      </c>
    </row>
    <row r="17">
      <c r="A17" s="1" t="str">
        <f>IFERROR(__xludf.DUMMYFUNCTION("""COMPUTED_VALUE"""),"MT")</f>
        <v>MT</v>
      </c>
      <c r="B17" s="1" t="str">
        <f>IFERROR(__xludf.DUMMYFUNCTION("""COMPUTED_VALUE"""),"Vocal Room Center 5")</f>
        <v>Vocal Room Center 5</v>
      </c>
      <c r="C17" s="1">
        <f>IFERROR(__xludf.DUMMYFUNCTION("""COMPUTED_VALUE"""),1055.0)</f>
        <v>1055</v>
      </c>
      <c r="D17" s="2">
        <f>IFERROR(__xludf.DUMMYFUNCTION("""COMPUTED_VALUE"""),0.4548611111111111)</f>
        <v>0.4548611111</v>
      </c>
      <c r="E17" s="1"/>
      <c r="F17" s="1" t="str">
        <f>IFERROR(__xludf.DUMMYFUNCTION("""COMPUTED_VALUE"""),"BREAK")</f>
        <v>BREAK</v>
      </c>
      <c r="G17" s="1"/>
    </row>
    <row r="18">
      <c r="A18" s="1" t="str">
        <f>IFERROR(__xludf.DUMMYFUNCTION("""COMPUTED_VALUE"""),"MT")</f>
        <v>MT</v>
      </c>
      <c r="B18" s="1" t="str">
        <f>IFERROR(__xludf.DUMMYFUNCTION("""COMPUTED_VALUE"""),"Vocal Room Center 5")</f>
        <v>Vocal Room Center 5</v>
      </c>
      <c r="C18" s="1">
        <f>IFERROR(__xludf.DUMMYFUNCTION("""COMPUTED_VALUE"""),1215.0)</f>
        <v>1215</v>
      </c>
      <c r="D18" s="2">
        <f>IFERROR(__xludf.DUMMYFUNCTION("""COMPUTED_VALUE"""),0.5104166666666666)</f>
        <v>0.5104166667</v>
      </c>
      <c r="E18" s="1">
        <f>IFERROR(__xludf.DUMMYFUNCTION("""COMPUTED_VALUE"""),1225.0)</f>
        <v>1225</v>
      </c>
      <c r="F18" s="1"/>
      <c r="G18" s="1"/>
    </row>
    <row r="19">
      <c r="A19" s="1" t="str">
        <f>IFERROR(__xludf.DUMMYFUNCTION("""COMPUTED_VALUE"""),"MT")</f>
        <v>MT</v>
      </c>
      <c r="B19" s="1" t="str">
        <f>IFERROR(__xludf.DUMMYFUNCTION("""COMPUTED_VALUE"""),"Vocal Room Center 5")</f>
        <v>Vocal Room Center 5</v>
      </c>
      <c r="C19" s="1">
        <f>IFERROR(__xludf.DUMMYFUNCTION("""COMPUTED_VALUE"""),1230.0)</f>
        <v>1230</v>
      </c>
      <c r="D19" s="2">
        <f>IFERROR(__xludf.DUMMYFUNCTION("""COMPUTED_VALUE"""),0.5208333333333334)</f>
        <v>0.5208333333</v>
      </c>
      <c r="E19" s="1">
        <f>IFERROR(__xludf.DUMMYFUNCTION("""COMPUTED_VALUE"""),1240.0)</f>
        <v>1240</v>
      </c>
      <c r="F19" s="1">
        <f>IFERROR(__xludf.DUMMYFUNCTION("""COMPUTED_VALUE"""),948.0)</f>
        <v>948</v>
      </c>
      <c r="G19" s="1" t="str">
        <f>IFERROR(__xludf.DUMMYFUNCTION("""COMPUTED_VALUE"""),"Something Rotton")</f>
        <v>Something Rotton</v>
      </c>
    </row>
    <row r="20">
      <c r="A20" s="1" t="str">
        <f>IFERROR(__xludf.DUMMYFUNCTION("""COMPUTED_VALUE"""),"MT")</f>
        <v>MT</v>
      </c>
      <c r="B20" s="1" t="str">
        <f>IFERROR(__xludf.DUMMYFUNCTION("""COMPUTED_VALUE"""),"Vocal Room Center 5")</f>
        <v>Vocal Room Center 5</v>
      </c>
      <c r="C20" s="1">
        <f>IFERROR(__xludf.DUMMYFUNCTION("""COMPUTED_VALUE"""),1245.0)</f>
        <v>1245</v>
      </c>
      <c r="D20" s="2">
        <f>IFERROR(__xludf.DUMMYFUNCTION("""COMPUTED_VALUE"""),0.53125)</f>
        <v>0.53125</v>
      </c>
      <c r="E20" s="1">
        <f>IFERROR(__xludf.DUMMYFUNCTION("""COMPUTED_VALUE"""),1255.0)</f>
        <v>1255</v>
      </c>
      <c r="F20" s="1">
        <f>IFERROR(__xludf.DUMMYFUNCTION("""COMPUTED_VALUE"""),633.0)</f>
        <v>633</v>
      </c>
      <c r="G20" s="1" t="str">
        <f>IFERROR(__xludf.DUMMYFUNCTION("""COMPUTED_VALUE"""),"Something Rotten")</f>
        <v>Something Rotten</v>
      </c>
    </row>
    <row r="21">
      <c r="A21" s="1" t="str">
        <f>IFERROR(__xludf.DUMMYFUNCTION("""COMPUTED_VALUE"""),"MT")</f>
        <v>MT</v>
      </c>
      <c r="B21" s="1" t="str">
        <f>IFERROR(__xludf.DUMMYFUNCTION("""COMPUTED_VALUE"""),"Vocal Room Center 5")</f>
        <v>Vocal Room Center 5</v>
      </c>
      <c r="C21" s="1">
        <f>IFERROR(__xludf.DUMMYFUNCTION("""COMPUTED_VALUE"""),1255.0)</f>
        <v>1255</v>
      </c>
      <c r="D21" s="2">
        <f>IFERROR(__xludf.DUMMYFUNCTION("""COMPUTED_VALUE"""),0.5416666666666666)</f>
        <v>0.5416666667</v>
      </c>
      <c r="E21" s="1"/>
      <c r="F21" s="1" t="str">
        <f>IFERROR(__xludf.DUMMYFUNCTION("""COMPUTED_VALUE"""),"BREAK")</f>
        <v>BREAK</v>
      </c>
      <c r="G21" s="1"/>
    </row>
    <row r="22">
      <c r="A22" s="1" t="str">
        <f>IFERROR(__xludf.DUMMYFUNCTION("""COMPUTED_VALUE"""),"MT")</f>
        <v>MT</v>
      </c>
      <c r="B22" s="1" t="str">
        <f>IFERROR(__xludf.DUMMYFUNCTION("""COMPUTED_VALUE"""),"Vocal Room Center 5")</f>
        <v>Vocal Room Center 5</v>
      </c>
      <c r="C22" s="1">
        <f>IFERROR(__xludf.DUMMYFUNCTION("""COMPUTED_VALUE"""),1300.0)</f>
        <v>1300</v>
      </c>
      <c r="D22" s="2">
        <f>IFERROR(__xludf.DUMMYFUNCTION("""COMPUTED_VALUE"""),0.5416666666666666)</f>
        <v>0.5416666667</v>
      </c>
      <c r="E22" s="1">
        <f>IFERROR(__xludf.DUMMYFUNCTION("""COMPUTED_VALUE"""),1310.0)</f>
        <v>1310</v>
      </c>
      <c r="F22" s="1">
        <f>IFERROR(__xludf.DUMMYFUNCTION("""COMPUTED_VALUE"""),633.0)</f>
        <v>633</v>
      </c>
      <c r="G22" s="1" t="str">
        <f>IFERROR(__xludf.DUMMYFUNCTION("""COMPUTED_VALUE"""),"I Love You, Youre Perfect, Now Change")</f>
        <v>I Love You, Youre Perfect, Now Change</v>
      </c>
    </row>
    <row r="23">
      <c r="A23" s="1" t="str">
        <f>IFERROR(__xludf.DUMMYFUNCTION("""COMPUTED_VALUE"""),"MT")</f>
        <v>MT</v>
      </c>
      <c r="B23" s="1" t="str">
        <f>IFERROR(__xludf.DUMMYFUNCTION("""COMPUTED_VALUE"""),"Vocal Room Center 5")</f>
        <v>Vocal Room Center 5</v>
      </c>
      <c r="C23" s="1">
        <f>IFERROR(__xludf.DUMMYFUNCTION("""COMPUTED_VALUE"""),1315.0)</f>
        <v>1315</v>
      </c>
      <c r="D23" s="2">
        <f>IFERROR(__xludf.DUMMYFUNCTION("""COMPUTED_VALUE"""),0.5520833333333334)</f>
        <v>0.5520833333</v>
      </c>
      <c r="E23" s="1">
        <f>IFERROR(__xludf.DUMMYFUNCTION("""COMPUTED_VALUE"""),1325.0)</f>
        <v>1325</v>
      </c>
      <c r="F23" s="1">
        <f>IFERROR(__xludf.DUMMYFUNCTION("""COMPUTED_VALUE"""),948.0)</f>
        <v>948</v>
      </c>
      <c r="G23" s="1" t="str">
        <f>IFERROR(__xludf.DUMMYFUNCTION("""COMPUTED_VALUE"""),"Shrek")</f>
        <v>Shrek</v>
      </c>
    </row>
    <row r="24">
      <c r="A24" s="1" t="str">
        <f>IFERROR(__xludf.DUMMYFUNCTION("""COMPUTED_VALUE"""),"MT")</f>
        <v>MT</v>
      </c>
      <c r="B24" s="1" t="str">
        <f>IFERROR(__xludf.DUMMYFUNCTION("""COMPUTED_VALUE"""),"Vocal Room Center 5")</f>
        <v>Vocal Room Center 5</v>
      </c>
      <c r="C24" s="1">
        <f>IFERROR(__xludf.DUMMYFUNCTION("""COMPUTED_VALUE"""),1330.0)</f>
        <v>1330</v>
      </c>
      <c r="D24" s="2">
        <f>IFERROR(__xludf.DUMMYFUNCTION("""COMPUTED_VALUE"""),0.5625)</f>
        <v>0.5625</v>
      </c>
      <c r="E24" s="1">
        <f>IFERROR(__xludf.DUMMYFUNCTION("""COMPUTED_VALUE"""),1340.0)</f>
        <v>1340</v>
      </c>
      <c r="F24" s="1">
        <f>IFERROR(__xludf.DUMMYFUNCTION("""COMPUTED_VALUE"""),988.0)</f>
        <v>988</v>
      </c>
      <c r="G24" s="1" t="str">
        <f>IFERROR(__xludf.DUMMYFUNCTION("""COMPUTED_VALUE"""),"Cinderella ")</f>
        <v>Cinderella </v>
      </c>
    </row>
    <row r="25">
      <c r="A25" s="1" t="str">
        <f>IFERROR(__xludf.DUMMYFUNCTION("""COMPUTED_VALUE"""),"MT")</f>
        <v>MT</v>
      </c>
      <c r="B25" s="1" t="str">
        <f>IFERROR(__xludf.DUMMYFUNCTION("""COMPUTED_VALUE"""),"Vocal Room Center 5")</f>
        <v>Vocal Room Center 5</v>
      </c>
      <c r="C25" s="1">
        <f>IFERROR(__xludf.DUMMYFUNCTION("""COMPUTED_VALUE"""),1345.0)</f>
        <v>1345</v>
      </c>
      <c r="D25" s="2">
        <f>IFERROR(__xludf.DUMMYFUNCTION("""COMPUTED_VALUE"""),0.5729166666666666)</f>
        <v>0.5729166667</v>
      </c>
      <c r="E25" s="1">
        <f>IFERROR(__xludf.DUMMYFUNCTION("""COMPUTED_VALUE"""),1355.0)</f>
        <v>1355</v>
      </c>
      <c r="F25" s="1"/>
      <c r="G25" s="1"/>
    </row>
    <row r="26">
      <c r="A26" s="1" t="str">
        <f>IFERROR(__xludf.DUMMYFUNCTION("""COMPUTED_VALUE"""),"MT")</f>
        <v>MT</v>
      </c>
      <c r="B26" s="1" t="str">
        <f>IFERROR(__xludf.DUMMYFUNCTION("""COMPUTED_VALUE"""),"Vocal Room Center 5")</f>
        <v>Vocal Room Center 5</v>
      </c>
      <c r="C26" s="1">
        <f>IFERROR(__xludf.DUMMYFUNCTION("""COMPUTED_VALUE"""),1355.0)</f>
        <v>1355</v>
      </c>
      <c r="D26" s="2">
        <f>IFERROR(__xludf.DUMMYFUNCTION("""COMPUTED_VALUE"""),0.5798611111111112)</f>
        <v>0.5798611111</v>
      </c>
      <c r="E26" s="1"/>
      <c r="F26" s="1" t="str">
        <f>IFERROR(__xludf.DUMMYFUNCTION("""COMPUTED_VALUE"""),"BREAK")</f>
        <v>BREAK</v>
      </c>
      <c r="G26" s="1"/>
    </row>
    <row r="27">
      <c r="A27" s="1" t="str">
        <f>IFERROR(__xludf.DUMMYFUNCTION("""COMPUTED_VALUE"""),"MT")</f>
        <v>MT</v>
      </c>
      <c r="B27" s="1" t="str">
        <f>IFERROR(__xludf.DUMMYFUNCTION("""COMPUTED_VALUE"""),"Vocal Room Center 5")</f>
        <v>Vocal Room Center 5</v>
      </c>
      <c r="C27" s="1">
        <f>IFERROR(__xludf.DUMMYFUNCTION("""COMPUTED_VALUE"""),1400.0)</f>
        <v>1400</v>
      </c>
      <c r="D27" s="2">
        <f>IFERROR(__xludf.DUMMYFUNCTION("""COMPUTED_VALUE"""),0.5833333333333334)</f>
        <v>0.5833333333</v>
      </c>
      <c r="E27" s="1">
        <f>IFERROR(__xludf.DUMMYFUNCTION("""COMPUTED_VALUE"""),1410.0)</f>
        <v>1410</v>
      </c>
      <c r="F27" s="1">
        <f>IFERROR(__xludf.DUMMYFUNCTION("""COMPUTED_VALUE"""),773.0)</f>
        <v>773</v>
      </c>
      <c r="G27" s="1" t="str">
        <f>IFERROR(__xludf.DUMMYFUNCTION("""COMPUTED_VALUE"""),"Beetlejuice-Say My Name")</f>
        <v>Beetlejuice-Say My Name</v>
      </c>
    </row>
    <row r="28">
      <c r="A28" s="1" t="str">
        <f>IFERROR(__xludf.DUMMYFUNCTION("""COMPUTED_VALUE"""),"MT")</f>
        <v>MT</v>
      </c>
      <c r="B28" s="1" t="str">
        <f>IFERROR(__xludf.DUMMYFUNCTION("""COMPUTED_VALUE"""),"Vocal Room Center 5")</f>
        <v>Vocal Room Center 5</v>
      </c>
      <c r="C28" s="1">
        <f>IFERROR(__xludf.DUMMYFUNCTION("""COMPUTED_VALUE"""),1415.0)</f>
        <v>1415</v>
      </c>
      <c r="D28" s="2">
        <f>IFERROR(__xludf.DUMMYFUNCTION("""COMPUTED_VALUE"""),0.59375)</f>
        <v>0.59375</v>
      </c>
      <c r="E28" s="1">
        <f>IFERROR(__xludf.DUMMYFUNCTION("""COMPUTED_VALUE"""),1425.0)</f>
        <v>1425</v>
      </c>
      <c r="F28" s="1">
        <f>IFERROR(__xludf.DUMMYFUNCTION("""COMPUTED_VALUE"""),657.0)</f>
        <v>657</v>
      </c>
      <c r="G28" s="1" t="str">
        <f>IFERROR(__xludf.DUMMYFUNCTION("""COMPUTED_VALUE"""),"Chitty, Chitty, Bang, Bang")</f>
        <v>Chitty, Chitty, Bang, Bang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71"/>
    <col customWidth="1" min="2" max="2" width="19.86"/>
    <col customWidth="1" min="3" max="3" width="7.0"/>
    <col customWidth="1" min="5" max="5" width="6.29"/>
    <col customWidth="1" min="6" max="6" width="8.0"/>
  </cols>
  <sheetData>
    <row r="1">
      <c r="A1" s="1" t="str">
        <f>IFERROR(__xludf.DUMMYFUNCTION("IMPORTRANGE(""https://docs.google.com/spreadsheets/d/1PHiz0I6v3EHBf7Pv8Pgf6mobEMX6t4_SrMKOz1XC7KE/edit#gid=1202109247"",""Center 6 OA/EA!A1:E17"")"),"Category")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6 OA/EA!G1:H17"")"),"Code")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IFERROR(__xludf.DUMMYFUNCTION("""COMPUTED_VALUE"""),"OA")</f>
        <v>OA</v>
      </c>
      <c r="B2" s="1" t="str">
        <f>IFERROR(__xludf.DUMMYFUNCTION("""COMPUTED_VALUE"""),"Auditorium Center 6")</f>
        <v>Auditorium Center 6</v>
      </c>
      <c r="C2" s="1">
        <f>IFERROR(__xludf.DUMMYFUNCTION("""COMPUTED_VALUE"""),800.0)</f>
        <v>800</v>
      </c>
      <c r="D2" s="2">
        <f>IFERROR(__xludf.DUMMYFUNCTION("""COMPUTED_VALUE"""),0.3645833333333333)</f>
        <v>0.3645833333</v>
      </c>
      <c r="E2" s="1">
        <f>IFERROR(__xludf.DUMMYFUNCTION("""COMPUTED_VALUE"""),835.0)</f>
        <v>835</v>
      </c>
      <c r="F2" s="1">
        <f>IFERROR(__xludf.DUMMYFUNCTION("""COMPUTED_VALUE"""),967.0)</f>
        <v>967</v>
      </c>
      <c r="G2" s="1" t="str">
        <f>IFERROR(__xludf.DUMMYFUNCTION("""COMPUTED_VALUE"""),"Wait Wait Bo Bait")</f>
        <v>Wait Wait Bo Bait</v>
      </c>
    </row>
    <row r="3">
      <c r="A3" s="1" t="str">
        <f>IFERROR(__xludf.DUMMYFUNCTION("""COMPUTED_VALUE"""),"OA")</f>
        <v>OA</v>
      </c>
      <c r="B3" s="1" t="str">
        <f>IFERROR(__xludf.DUMMYFUNCTION("""COMPUTED_VALUE"""),"Auditorium Center 6")</f>
        <v>Auditorium Center 6</v>
      </c>
      <c r="C3" s="1">
        <f>IFERROR(__xludf.DUMMYFUNCTION("""COMPUTED_VALUE"""),845.0)</f>
        <v>845</v>
      </c>
      <c r="D3" s="2">
        <f>IFERROR(__xludf.DUMMYFUNCTION("""COMPUTED_VALUE"""),0.3645833333333333)</f>
        <v>0.3645833333</v>
      </c>
      <c r="E3" s="1">
        <f>IFERROR(__xludf.DUMMYFUNCTION("""COMPUTED_VALUE"""),920.0)</f>
        <v>920</v>
      </c>
      <c r="F3" s="1">
        <f>IFERROR(__xludf.DUMMYFUNCTION("""COMPUTED_VALUE"""),937.0)</f>
        <v>937</v>
      </c>
      <c r="G3" s="1" t="str">
        <f>IFERROR(__xludf.DUMMYFUNCTION("""COMPUTED_VALUE"""),"Serial Killer Barbie")</f>
        <v>Serial Killer Barbie</v>
      </c>
    </row>
    <row r="4">
      <c r="A4" s="1" t="str">
        <f>IFERROR(__xludf.DUMMYFUNCTION("""COMPUTED_VALUE"""),"OA")</f>
        <v>OA</v>
      </c>
      <c r="B4" s="1" t="str">
        <f>IFERROR(__xludf.DUMMYFUNCTION("""COMPUTED_VALUE"""),"Auditorium Center 6")</f>
        <v>Auditorium Center 6</v>
      </c>
      <c r="C4" s="1">
        <f>IFERROR(__xludf.DUMMYFUNCTION("""COMPUTED_VALUE"""),925.0)</f>
        <v>925</v>
      </c>
      <c r="D4" s="2">
        <f>IFERROR(__xludf.DUMMYFUNCTION("""COMPUTED_VALUE"""),0.3923611111111111)</f>
        <v>0.3923611111</v>
      </c>
      <c r="E4" s="1"/>
      <c r="F4" s="1" t="str">
        <f>IFERROR(__xludf.DUMMYFUNCTION("""COMPUTED_VALUE"""),"BREAK")</f>
        <v>BREAK</v>
      </c>
      <c r="G4" s="1"/>
    </row>
    <row r="5">
      <c r="A5" s="1" t="str">
        <f>IFERROR(__xludf.DUMMYFUNCTION("""COMPUTED_VALUE"""),"OA")</f>
        <v>OA</v>
      </c>
      <c r="B5" s="1" t="str">
        <f>IFERROR(__xludf.DUMMYFUNCTION("""COMPUTED_VALUE"""),"Auditorium Center 6")</f>
        <v>Auditorium Center 6</v>
      </c>
      <c r="C5" s="1">
        <f>IFERROR(__xludf.DUMMYFUNCTION("""COMPUTED_VALUE"""),930.0)</f>
        <v>930</v>
      </c>
      <c r="D5" s="2">
        <f>IFERROR(__xludf.DUMMYFUNCTION("""COMPUTED_VALUE"""),0.3958333333333333)</f>
        <v>0.3958333333</v>
      </c>
      <c r="E5" s="1">
        <f>IFERROR(__xludf.DUMMYFUNCTION("""COMPUTED_VALUE"""),1005.0)</f>
        <v>1005</v>
      </c>
      <c r="F5" s="1">
        <f>IFERROR(__xludf.DUMMYFUNCTION("""COMPUTED_VALUE"""),633.0)</f>
        <v>633</v>
      </c>
      <c r="G5" s="1" t="str">
        <f>IFERROR(__xludf.DUMMYFUNCTION("""COMPUTED_VALUE"""),"And The Giants Fell")</f>
        <v>And The Giants Fell</v>
      </c>
    </row>
    <row r="6">
      <c r="A6" s="1" t="str">
        <f>IFERROR(__xludf.DUMMYFUNCTION("""COMPUTED_VALUE"""),"OA")</f>
        <v>OA</v>
      </c>
      <c r="B6" s="1" t="str">
        <f>IFERROR(__xludf.DUMMYFUNCTION("""COMPUTED_VALUE"""),"Auditorium Center 6")</f>
        <v>Auditorium Center 6</v>
      </c>
      <c r="C6" s="1">
        <f>IFERROR(__xludf.DUMMYFUNCTION("""COMPUTED_VALUE"""),1015.0)</f>
        <v>1015</v>
      </c>
      <c r="D6" s="2">
        <f>IFERROR(__xludf.DUMMYFUNCTION("""COMPUTED_VALUE"""),0.4270833333333333)</f>
        <v>0.4270833333</v>
      </c>
      <c r="E6" s="1">
        <f>IFERROR(__xludf.DUMMYFUNCTION("""COMPUTED_VALUE"""),1050.0)</f>
        <v>1050</v>
      </c>
      <c r="F6" s="1">
        <f>IFERROR(__xludf.DUMMYFUNCTION("""COMPUTED_VALUE"""),657.0)</f>
        <v>657</v>
      </c>
      <c r="G6" s="1" t="str">
        <f>IFERROR(__xludf.DUMMYFUNCTION("""COMPUTED_VALUE"""),"The Wild Bunch Women: A Memory Play")</f>
        <v>The Wild Bunch Women: A Memory Play</v>
      </c>
    </row>
    <row r="7">
      <c r="A7" s="1" t="str">
        <f>IFERROR(__xludf.DUMMYFUNCTION("""COMPUTED_VALUE"""),"OA")</f>
        <v>OA</v>
      </c>
      <c r="B7" s="1" t="str">
        <f>IFERROR(__xludf.DUMMYFUNCTION("""COMPUTED_VALUE"""),"Auditorium Center 6")</f>
        <v>Auditorium Center 6</v>
      </c>
      <c r="C7" s="1">
        <f>IFERROR(__xludf.DUMMYFUNCTION("""COMPUTED_VALUE"""),1055.0)</f>
        <v>1055</v>
      </c>
      <c r="D7" s="2">
        <f>IFERROR(__xludf.DUMMYFUNCTION("""COMPUTED_VALUE"""),0.4548611111111111)</f>
        <v>0.4548611111</v>
      </c>
      <c r="E7" s="1"/>
      <c r="F7" s="1" t="str">
        <f>IFERROR(__xludf.DUMMYFUNCTION("""COMPUTED_VALUE"""),"BREAK")</f>
        <v>BREAK</v>
      </c>
      <c r="G7" s="1"/>
    </row>
    <row r="8">
      <c r="A8" s="1" t="str">
        <f>IFERROR(__xludf.DUMMYFUNCTION("""COMPUTED_VALUE"""),"OA")</f>
        <v>OA</v>
      </c>
      <c r="B8" s="1" t="str">
        <f>IFERROR(__xludf.DUMMYFUNCTION("""COMPUTED_VALUE"""),"Auditorium Center 6")</f>
        <v>Auditorium Center 6</v>
      </c>
      <c r="C8" s="1">
        <f>IFERROR(__xludf.DUMMYFUNCTION("""COMPUTED_VALUE"""),1200.0)</f>
        <v>1200</v>
      </c>
      <c r="D8" s="2">
        <f>IFERROR(__xludf.DUMMYFUNCTION("""COMPUTED_VALUE"""),0.5)</f>
        <v>0.5</v>
      </c>
      <c r="E8" s="1">
        <f>IFERROR(__xludf.DUMMYFUNCTION("""COMPUTED_VALUE"""),1235.0)</f>
        <v>1235</v>
      </c>
      <c r="F8" s="1">
        <f>IFERROR(__xludf.DUMMYFUNCTION("""COMPUTED_VALUE"""),948.0)</f>
        <v>948</v>
      </c>
      <c r="G8" s="1" t="str">
        <f>IFERROR(__xludf.DUMMYFUNCTION("""COMPUTED_VALUE"""),"Strawberry Jam")</f>
        <v>Strawberry Jam</v>
      </c>
    </row>
    <row r="9">
      <c r="A9" s="1" t="str">
        <f>IFERROR(__xludf.DUMMYFUNCTION("""COMPUTED_VALUE"""),"OA")</f>
        <v>OA</v>
      </c>
      <c r="B9" s="1" t="str">
        <f>IFERROR(__xludf.DUMMYFUNCTION("""COMPUTED_VALUE"""),"Auditorium Center 6")</f>
        <v>Auditorium Center 6</v>
      </c>
      <c r="C9" s="1">
        <f>IFERROR(__xludf.DUMMYFUNCTION("""COMPUTED_VALUE"""),1245.0)</f>
        <v>1245</v>
      </c>
      <c r="D9" s="2">
        <f>IFERROR(__xludf.DUMMYFUNCTION("""COMPUTED_VALUE"""),0.53125)</f>
        <v>0.53125</v>
      </c>
      <c r="E9" s="1">
        <f>IFERROR(__xludf.DUMMYFUNCTION("""COMPUTED_VALUE"""),1320.0)</f>
        <v>1320</v>
      </c>
      <c r="F9" s="1"/>
      <c r="G9" s="1"/>
    </row>
    <row r="10">
      <c r="A10" s="1" t="str">
        <f>IFERROR(__xludf.DUMMYFUNCTION("""COMPUTED_VALUE"""),"EA")</f>
        <v>EA</v>
      </c>
      <c r="B10" s="1" t="str">
        <f>IFERROR(__xludf.DUMMYFUNCTION("""COMPUTED_VALUE"""),"Auditorium Center 6")</f>
        <v>Auditorium Center 6</v>
      </c>
      <c r="C10" s="1">
        <f>IFERROR(__xludf.DUMMYFUNCTION("""COMPUTED_VALUE"""),1330.0)</f>
        <v>1330</v>
      </c>
      <c r="D10" s="2">
        <f>IFERROR(__xludf.DUMMYFUNCTION("""COMPUTED_VALUE"""),0.5625)</f>
        <v>0.5625</v>
      </c>
      <c r="E10" s="1">
        <f>IFERROR(__xludf.DUMMYFUNCTION("""COMPUTED_VALUE"""),1345.0)</f>
        <v>1345</v>
      </c>
      <c r="F10" s="1">
        <f>IFERROR(__xludf.DUMMYFUNCTION("""COMPUTED_VALUE"""),153.0)</f>
        <v>153</v>
      </c>
      <c r="G10" s="1" t="str">
        <f>IFERROR(__xludf.DUMMYFUNCTION("""COMPUTED_VALUE"""),"Chekhovs Three Seagulls")</f>
        <v>Chekhovs Three Seagulls</v>
      </c>
    </row>
    <row r="11">
      <c r="A11" s="1" t="str">
        <f>IFERROR(__xludf.DUMMYFUNCTION("""COMPUTED_VALUE"""),"EA")</f>
        <v>EA</v>
      </c>
      <c r="B11" s="1" t="str">
        <f>IFERROR(__xludf.DUMMYFUNCTION("""COMPUTED_VALUE"""),"Auditorium Center 6")</f>
        <v>Auditorium Center 6</v>
      </c>
      <c r="C11" s="1">
        <f>IFERROR(__xludf.DUMMYFUNCTION("""COMPUTED_VALUE"""),1345.0)</f>
        <v>1345</v>
      </c>
      <c r="D11" s="2">
        <f>IFERROR(__xludf.DUMMYFUNCTION("""COMPUTED_VALUE"""),0.5729166666666666)</f>
        <v>0.5729166667</v>
      </c>
      <c r="E11" s="1">
        <f>IFERROR(__xludf.DUMMYFUNCTION("""COMPUTED_VALUE"""),1400.0)</f>
        <v>1400</v>
      </c>
      <c r="F11" s="1">
        <f>IFERROR(__xludf.DUMMYFUNCTION("""COMPUTED_VALUE"""),949.0)</f>
        <v>949</v>
      </c>
      <c r="G11" s="1" t="str">
        <f>IFERROR(__xludf.DUMMYFUNCTION("""COMPUTED_VALUE"""),"Rope Swings")</f>
        <v>Rope Swings</v>
      </c>
    </row>
    <row r="12">
      <c r="A12" s="1" t="str">
        <f>IFERROR(__xludf.DUMMYFUNCTION("""COMPUTED_VALUE"""),"EA")</f>
        <v>EA</v>
      </c>
      <c r="B12" s="1" t="str">
        <f>IFERROR(__xludf.DUMMYFUNCTION("""COMPUTED_VALUE"""),"Auditorium Center 6")</f>
        <v>Auditorium Center 6</v>
      </c>
      <c r="C12" s="1">
        <f>IFERROR(__xludf.DUMMYFUNCTION("""COMPUTED_VALUE"""),1355.0)</f>
        <v>1355</v>
      </c>
      <c r="D12" s="2">
        <f>IFERROR(__xludf.DUMMYFUNCTION("""COMPUTED_VALUE"""),0.5833333333333334)</f>
        <v>0.5833333333</v>
      </c>
      <c r="E12" s="1"/>
      <c r="F12" s="1" t="str">
        <f>IFERROR(__xludf.DUMMYFUNCTION("""COMPUTED_VALUE"""),"BREAK")</f>
        <v>BREAK</v>
      </c>
      <c r="G12" s="1"/>
    </row>
    <row r="13">
      <c r="A13" s="1" t="str">
        <f>IFERROR(__xludf.DUMMYFUNCTION("""COMPUTED_VALUE"""),"EA")</f>
        <v>EA</v>
      </c>
      <c r="B13" s="1" t="str">
        <f>IFERROR(__xludf.DUMMYFUNCTION("""COMPUTED_VALUE"""),"Auditorium Center 6")</f>
        <v>Auditorium Center 6</v>
      </c>
      <c r="C13" s="1">
        <f>IFERROR(__xludf.DUMMYFUNCTION("""COMPUTED_VALUE"""),1400.0)</f>
        <v>1400</v>
      </c>
      <c r="D13" s="2">
        <f>IFERROR(__xludf.DUMMYFUNCTION("""COMPUTED_VALUE"""),0.5833333333333334)</f>
        <v>0.5833333333</v>
      </c>
      <c r="E13" s="1">
        <f>IFERROR(__xludf.DUMMYFUNCTION("""COMPUTED_VALUE"""),1415.0)</f>
        <v>1415</v>
      </c>
      <c r="F13" s="1">
        <f>IFERROR(__xludf.DUMMYFUNCTION("""COMPUTED_VALUE"""),293.0)</f>
        <v>293</v>
      </c>
      <c r="G13" s="1" t="str">
        <f>IFERROR(__xludf.DUMMYFUNCTION("""COMPUTED_VALUE"""),"Dont Play Games with Me")</f>
        <v>Dont Play Games with Me</v>
      </c>
    </row>
    <row r="14">
      <c r="A14" s="1" t="str">
        <f>IFERROR(__xludf.DUMMYFUNCTION("""COMPUTED_VALUE"""),"EA")</f>
        <v>EA</v>
      </c>
      <c r="B14" s="1" t="str">
        <f>IFERROR(__xludf.DUMMYFUNCTION("""COMPUTED_VALUE"""),"Auditorium Center 6")</f>
        <v>Auditorium Center 6</v>
      </c>
      <c r="C14" s="1">
        <f>IFERROR(__xludf.DUMMYFUNCTION("""COMPUTED_VALUE"""),1415.0)</f>
        <v>1415</v>
      </c>
      <c r="D14" s="2">
        <f>IFERROR(__xludf.DUMMYFUNCTION("""COMPUTED_VALUE"""),0.59375)</f>
        <v>0.59375</v>
      </c>
      <c r="E14" s="1">
        <f>IFERROR(__xludf.DUMMYFUNCTION("""COMPUTED_VALUE"""),1430.0)</f>
        <v>1430</v>
      </c>
      <c r="F14" s="1">
        <f>IFERROR(__xludf.DUMMYFUNCTION("""COMPUTED_VALUE"""),633.0)</f>
        <v>633</v>
      </c>
      <c r="G14" s="1" t="str">
        <f>IFERROR(__xludf.DUMMYFUNCTION("""COMPUTED_VALUE"""),"Hold For Three")</f>
        <v>Hold For Three</v>
      </c>
    </row>
    <row r="15">
      <c r="A15" s="1" t="str">
        <f>IFERROR(__xludf.DUMMYFUNCTION("""COMPUTED_VALUE"""),"EA")</f>
        <v>EA</v>
      </c>
      <c r="B15" s="1" t="str">
        <f>IFERROR(__xludf.DUMMYFUNCTION("""COMPUTED_VALUE"""),"Auditorium Center 6")</f>
        <v>Auditorium Center 6</v>
      </c>
      <c r="C15" s="1">
        <f>IFERROR(__xludf.DUMMYFUNCTION("""COMPUTED_VALUE"""),1430.0)</f>
        <v>1430</v>
      </c>
      <c r="D15" s="2">
        <f>IFERROR(__xludf.DUMMYFUNCTION("""COMPUTED_VALUE"""),0.6041666666666666)</f>
        <v>0.6041666667</v>
      </c>
      <c r="E15" s="1">
        <f>IFERROR(__xludf.DUMMYFUNCTION("""COMPUTED_VALUE"""),1445.0)</f>
        <v>1445</v>
      </c>
      <c r="F15" s="1">
        <f>IFERROR(__xludf.DUMMYFUNCTION("""COMPUTED_VALUE"""),983.0)</f>
        <v>983</v>
      </c>
      <c r="G15" s="1" t="str">
        <f>IFERROR(__xludf.DUMMYFUNCTION("""COMPUTED_VALUE"""),"Things That Are Gray")</f>
        <v>Things That Are Gray</v>
      </c>
    </row>
    <row r="16">
      <c r="A16" s="1" t="str">
        <f>IFERROR(__xludf.DUMMYFUNCTION("""COMPUTED_VALUE"""),"EA")</f>
        <v>EA</v>
      </c>
      <c r="B16" s="1" t="str">
        <f>IFERROR(__xludf.DUMMYFUNCTION("""COMPUTED_VALUE"""),"Auditorium Center 6")</f>
        <v>Auditorium Center 6</v>
      </c>
      <c r="C16" s="1">
        <f>IFERROR(__xludf.DUMMYFUNCTION("""COMPUTED_VALUE"""),1445.0)</f>
        <v>1445</v>
      </c>
      <c r="D16" s="2">
        <f>IFERROR(__xludf.DUMMYFUNCTION("""COMPUTED_VALUE"""),0.6145833333333334)</f>
        <v>0.6145833333</v>
      </c>
      <c r="E16" s="1">
        <f>IFERROR(__xludf.DUMMYFUNCTION("""COMPUTED_VALUE"""),1500.0)</f>
        <v>1500</v>
      </c>
      <c r="F16" s="1">
        <f>IFERROR(__xludf.DUMMYFUNCTION("""COMPUTED_VALUE"""),153.0)</f>
        <v>153</v>
      </c>
      <c r="G16" s="1" t="str">
        <f>IFERROR(__xludf.DUMMYFUNCTION("""COMPUTED_VALUE"""),"The Spot")</f>
        <v>The Spot</v>
      </c>
    </row>
    <row r="17">
      <c r="A17" s="1" t="str">
        <f>IFERROR(__xludf.DUMMYFUNCTION("""COMPUTED_VALUE"""),"EA")</f>
        <v>EA</v>
      </c>
      <c r="B17" s="1" t="str">
        <f>IFERROR(__xludf.DUMMYFUNCTION("""COMPUTED_VALUE"""),"Auditorium Center 6")</f>
        <v>Auditorium Center 6</v>
      </c>
      <c r="C17" s="1">
        <f>IFERROR(__xludf.DUMMYFUNCTION("""COMPUTED_VALUE"""),1455.0)</f>
        <v>1455</v>
      </c>
      <c r="D17" s="2">
        <f>IFERROR(__xludf.DUMMYFUNCTION("""COMPUTED_VALUE"""),0.6215277777777778)</f>
        <v>0.6215277778</v>
      </c>
      <c r="E17" s="1"/>
      <c r="F17" s="1" t="str">
        <f>IFERROR(__xludf.DUMMYFUNCTION("""COMPUTED_VALUE"""),"BREAK")</f>
        <v>BREAK</v>
      </c>
      <c r="G17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57"/>
    <col customWidth="1" min="3" max="3" width="7.86"/>
    <col customWidth="1" min="5" max="5" width="7.86"/>
    <col customWidth="1" min="6" max="6" width="8.43"/>
    <col customWidth="1" min="7" max="7" width="25.57"/>
  </cols>
  <sheetData>
    <row r="1">
      <c r="A1" s="1" t="str">
        <f>IFERROR(__xludf.DUMMYFUNCTION("IMPORTRANGE(""https://docs.google.com/spreadsheets/d/1PHiz0I6v3EHBf7Pv8Pgf6mobEMX6t4_SrMKOz1XC7KE/edit#gid=1202109247"",""Center 7 GI!A1:E28"")"),"Category")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7 GI!G1:H28"")"),"Code")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IFERROR(__xludf.DUMMYFUNCTION("""COMPUTED_VALUE"""),"GI")</f>
        <v>GI</v>
      </c>
      <c r="B2" s="1" t="str">
        <f>IFERROR(__xludf.DUMMYFUNCTION("""COMPUTED_VALUE"""),"HS Center 7")</f>
        <v>HS Center 7</v>
      </c>
      <c r="C2" s="1">
        <f>IFERROR(__xludf.DUMMYFUNCTION("""COMPUTED_VALUE"""),800.0)</f>
        <v>800</v>
      </c>
      <c r="D2" s="2">
        <f>IFERROR(__xludf.DUMMYFUNCTION("""COMPUTED_VALUE"""),0.3416666666666667)</f>
        <v>0.3416666667</v>
      </c>
      <c r="E2" s="1">
        <f>IFERROR(__xludf.DUMMYFUNCTION("""COMPUTED_VALUE"""),808.0)</f>
        <v>808</v>
      </c>
      <c r="F2" s="1">
        <f>IFERROR(__xludf.DUMMYFUNCTION("""COMPUTED_VALUE"""),657.0)</f>
        <v>657</v>
      </c>
      <c r="G2" s="1" t="str">
        <f>IFERROR(__xludf.DUMMYFUNCTION("""COMPUTED_VALUE"""),"Bennett")</f>
        <v>Bennett</v>
      </c>
    </row>
    <row r="3">
      <c r="A3" s="1" t="str">
        <f>IFERROR(__xludf.DUMMYFUNCTION("""COMPUTED_VALUE"""),"GI")</f>
        <v>GI</v>
      </c>
      <c r="B3" s="1" t="str">
        <f>IFERROR(__xludf.DUMMYFUNCTION("""COMPUTED_VALUE"""),"HS Center 7")</f>
        <v>HS Center 7</v>
      </c>
      <c r="C3" s="1">
        <f>IFERROR(__xludf.DUMMYFUNCTION("""COMPUTED_VALUE"""),812.0)</f>
        <v>812</v>
      </c>
      <c r="D3" s="2">
        <f>IFERROR(__xludf.DUMMYFUNCTION("""COMPUTED_VALUE"""),0.3416666666666667)</f>
        <v>0.3416666667</v>
      </c>
      <c r="E3" s="1">
        <f>IFERROR(__xludf.DUMMYFUNCTION("""COMPUTED_VALUE"""),820.0)</f>
        <v>820</v>
      </c>
      <c r="F3" s="1">
        <f>IFERROR(__xludf.DUMMYFUNCTION("""COMPUTED_VALUE"""),988.0)</f>
        <v>988</v>
      </c>
      <c r="G3" s="1" t="str">
        <f>IFERROR(__xludf.DUMMYFUNCTION("""COMPUTED_VALUE"""),"PGC")</f>
        <v>PGC</v>
      </c>
    </row>
    <row r="4">
      <c r="A4" s="1" t="str">
        <f>IFERROR(__xludf.DUMMYFUNCTION("""COMPUTED_VALUE"""),"GI")</f>
        <v>GI</v>
      </c>
      <c r="B4" s="1" t="str">
        <f>IFERROR(__xludf.DUMMYFUNCTION("""COMPUTED_VALUE"""),"HS Center 7")</f>
        <v>HS Center 7</v>
      </c>
      <c r="C4" s="1">
        <f>IFERROR(__xludf.DUMMYFUNCTION("""COMPUTED_VALUE"""),824.0)</f>
        <v>824</v>
      </c>
      <c r="D4" s="2">
        <f>IFERROR(__xludf.DUMMYFUNCTION("""COMPUTED_VALUE"""),0.35)</f>
        <v>0.35</v>
      </c>
      <c r="E4" s="1">
        <f>IFERROR(__xludf.DUMMYFUNCTION("""COMPUTED_VALUE"""),832.0)</f>
        <v>832</v>
      </c>
      <c r="F4" s="1">
        <f>IFERROR(__xludf.DUMMYFUNCTION("""COMPUTED_VALUE"""),773.0)</f>
        <v>773</v>
      </c>
      <c r="G4" s="1" t="str">
        <f>IFERROR(__xludf.DUMMYFUNCTION("""COMPUTED_VALUE"""),"JAHNI")</f>
        <v>JAHNI</v>
      </c>
    </row>
    <row r="5">
      <c r="A5" s="1" t="str">
        <f>IFERROR(__xludf.DUMMYFUNCTION("""COMPUTED_VALUE"""),"GI")</f>
        <v>GI</v>
      </c>
      <c r="B5" s="1" t="str">
        <f>IFERROR(__xludf.DUMMYFUNCTION("""COMPUTED_VALUE"""),"HS Center 7")</f>
        <v>HS Center 7</v>
      </c>
      <c r="C5" s="1">
        <f>IFERROR(__xludf.DUMMYFUNCTION("""COMPUTED_VALUE"""),836.0)</f>
        <v>836</v>
      </c>
      <c r="D5" s="2">
        <f>IFERROR(__xludf.DUMMYFUNCTION("""COMPUTED_VALUE"""),0.35833333333333334)</f>
        <v>0.3583333333</v>
      </c>
      <c r="E5" s="1">
        <f>IFERROR(__xludf.DUMMYFUNCTION("""COMPUTED_VALUE"""),844.0)</f>
        <v>844</v>
      </c>
      <c r="F5" s="1">
        <f>IFERROR(__xludf.DUMMYFUNCTION("""COMPUTED_VALUE"""),949.0)</f>
        <v>949</v>
      </c>
      <c r="G5" s="1" t="str">
        <f>IFERROR(__xludf.DUMMYFUNCTION("""COMPUTED_VALUE"""),"Kermy")</f>
        <v>Kermy</v>
      </c>
    </row>
    <row r="6">
      <c r="A6" s="1" t="str">
        <f>IFERROR(__xludf.DUMMYFUNCTION("""COMPUTED_VALUE"""),"GI")</f>
        <v>GI</v>
      </c>
      <c r="B6" s="1" t="str">
        <f>IFERROR(__xludf.DUMMYFUNCTION("""COMPUTED_VALUE"""),"HS Center 7")</f>
        <v>HS Center 7</v>
      </c>
      <c r="C6" s="1">
        <f>IFERROR(__xludf.DUMMYFUNCTION("""COMPUTED_VALUE"""),848.0)</f>
        <v>848</v>
      </c>
      <c r="D6" s="2">
        <f>IFERROR(__xludf.DUMMYFUNCTION("""COMPUTED_VALUE"""),0.36666666666666664)</f>
        <v>0.3666666667</v>
      </c>
      <c r="E6" s="1">
        <f>IFERROR(__xludf.DUMMYFUNCTION("""COMPUTED_VALUE"""),856.0)</f>
        <v>856</v>
      </c>
      <c r="F6" s="1">
        <f>IFERROR(__xludf.DUMMYFUNCTION("""COMPUTED_VALUE"""),131.0)</f>
        <v>131</v>
      </c>
      <c r="G6" s="1" t="str">
        <f>IFERROR(__xludf.DUMMYFUNCTION("""COMPUTED_VALUE"""),"Never Safe, Never Boring")</f>
        <v>Never Safe, Never Boring</v>
      </c>
    </row>
    <row r="7">
      <c r="A7" s="1" t="str">
        <f>IFERROR(__xludf.DUMMYFUNCTION("""COMPUTED_VALUE"""),"GI")</f>
        <v>GI</v>
      </c>
      <c r="B7" s="1" t="str">
        <f>IFERROR(__xludf.DUMMYFUNCTION("""COMPUTED_VALUE"""),"HS Center 7")</f>
        <v>HS Center 7</v>
      </c>
      <c r="C7" s="1">
        <f>IFERROR(__xludf.DUMMYFUNCTION("""COMPUTED_VALUE"""),900.0)</f>
        <v>900</v>
      </c>
      <c r="D7" s="2">
        <f>IFERROR(__xludf.DUMMYFUNCTION("""COMPUTED_VALUE"""),0.375)</f>
        <v>0.375</v>
      </c>
      <c r="E7" s="1">
        <f>IFERROR(__xludf.DUMMYFUNCTION("""COMPUTED_VALUE"""),908.0)</f>
        <v>908</v>
      </c>
      <c r="F7" s="1">
        <f>IFERROR(__xludf.DUMMYFUNCTION("""COMPUTED_VALUE"""),233.0)</f>
        <v>233</v>
      </c>
      <c r="G7" s="1" t="str">
        <f>IFERROR(__xludf.DUMMYFUNCTION("""COMPUTED_VALUE"""),"Cavanh and Elmer")</f>
        <v>Cavanh and Elmer</v>
      </c>
    </row>
    <row r="8">
      <c r="A8" s="1" t="str">
        <f>IFERROR(__xludf.DUMMYFUNCTION("""COMPUTED_VALUE"""),"GI")</f>
        <v>GI</v>
      </c>
      <c r="B8" s="1" t="str">
        <f>IFERROR(__xludf.DUMMYFUNCTION("""COMPUTED_VALUE"""),"HS Center 7")</f>
        <v>HS Center 7</v>
      </c>
      <c r="C8" s="1">
        <f>IFERROR(__xludf.DUMMYFUNCTION("""COMPUTED_VALUE"""),912.0)</f>
        <v>912</v>
      </c>
      <c r="D8" s="2">
        <f>IFERROR(__xludf.DUMMYFUNCTION("""COMPUTED_VALUE"""),0.38333333333333336)</f>
        <v>0.3833333333</v>
      </c>
      <c r="E8" s="1"/>
      <c r="F8" s="1" t="str">
        <f>IFERROR(__xludf.DUMMYFUNCTION("""COMPUTED_VALUE"""),"BREAK")</f>
        <v>BREAK</v>
      </c>
      <c r="G8" s="1"/>
    </row>
    <row r="9">
      <c r="A9" s="1" t="str">
        <f>IFERROR(__xludf.DUMMYFUNCTION("""COMPUTED_VALUE"""),"GI")</f>
        <v>GI</v>
      </c>
      <c r="B9" s="1" t="str">
        <f>IFERROR(__xludf.DUMMYFUNCTION("""COMPUTED_VALUE"""),"HS Center 7")</f>
        <v>HS Center 7</v>
      </c>
      <c r="C9" s="1">
        <f>IFERROR(__xludf.DUMMYFUNCTION("""COMPUTED_VALUE"""),932.0)</f>
        <v>932</v>
      </c>
      <c r="D9" s="2">
        <f>IFERROR(__xludf.DUMMYFUNCTION("""COMPUTED_VALUE"""),0.3972222222222222)</f>
        <v>0.3972222222</v>
      </c>
      <c r="E9" s="1">
        <f>IFERROR(__xludf.DUMMYFUNCTION("""COMPUTED_VALUE"""),940.0)</f>
        <v>940</v>
      </c>
      <c r="F9" s="1">
        <f>IFERROR(__xludf.DUMMYFUNCTION("""COMPUTED_VALUE"""),235.0)</f>
        <v>235</v>
      </c>
      <c r="G9" s="1" t="str">
        <f>IFERROR(__xludf.DUMMYFUNCTION("""COMPUTED_VALUE"""),"The Boys")</f>
        <v>The Boys</v>
      </c>
    </row>
    <row r="10">
      <c r="A10" s="1" t="str">
        <f>IFERROR(__xludf.DUMMYFUNCTION("""COMPUTED_VALUE"""),"GI")</f>
        <v>GI</v>
      </c>
      <c r="B10" s="1" t="str">
        <f>IFERROR(__xludf.DUMMYFUNCTION("""COMPUTED_VALUE"""),"HS Center 7")</f>
        <v>HS Center 7</v>
      </c>
      <c r="C10" s="1">
        <f>IFERROR(__xludf.DUMMYFUNCTION("""COMPUTED_VALUE"""),944.0)</f>
        <v>944</v>
      </c>
      <c r="D10" s="2">
        <f>IFERROR(__xludf.DUMMYFUNCTION("""COMPUTED_VALUE"""),0.41388888888888886)</f>
        <v>0.4138888889</v>
      </c>
      <c r="E10" s="1">
        <f>IFERROR(__xludf.DUMMYFUNCTION("""COMPUTED_VALUE"""),952.0)</f>
        <v>952</v>
      </c>
      <c r="F10" s="1">
        <f>IFERROR(__xludf.DUMMYFUNCTION("""COMPUTED_VALUE"""),131.0)</f>
        <v>131</v>
      </c>
      <c r="G10" s="1" t="str">
        <f>IFERROR(__xludf.DUMMYFUNCTION("""COMPUTED_VALUE"""),"Dramatic Intensity")</f>
        <v>Dramatic Intensity</v>
      </c>
    </row>
    <row r="11">
      <c r="A11" s="1" t="str">
        <f>IFERROR(__xludf.DUMMYFUNCTION("""COMPUTED_VALUE"""),"GI")</f>
        <v>GI</v>
      </c>
      <c r="B11" s="1" t="str">
        <f>IFERROR(__xludf.DUMMYFUNCTION("""COMPUTED_VALUE"""),"HS Center 7")</f>
        <v>HS Center 7</v>
      </c>
      <c r="C11" s="1">
        <f>IFERROR(__xludf.DUMMYFUNCTION("""COMPUTED_VALUE"""),956.0)</f>
        <v>956</v>
      </c>
      <c r="D11" s="2">
        <f>IFERROR(__xludf.DUMMYFUNCTION("""COMPUTED_VALUE"""),0.41388888888888886)</f>
        <v>0.4138888889</v>
      </c>
      <c r="E11" s="1">
        <f>IFERROR(__xludf.DUMMYFUNCTION("""COMPUTED_VALUE"""),1004.0)</f>
        <v>1004</v>
      </c>
      <c r="F11" s="1">
        <f>IFERROR(__xludf.DUMMYFUNCTION("""COMPUTED_VALUE"""),153.0)</f>
        <v>153</v>
      </c>
      <c r="G11" s="1" t="str">
        <f>IFERROR(__xludf.DUMMYFUNCTION("""COMPUTED_VALUE"""),"Renaud")</f>
        <v>Renaud</v>
      </c>
    </row>
    <row r="12">
      <c r="A12" s="1" t="str">
        <f>IFERROR(__xludf.DUMMYFUNCTION("""COMPUTED_VALUE"""),"GI")</f>
        <v>GI</v>
      </c>
      <c r="B12" s="1" t="str">
        <f>IFERROR(__xludf.DUMMYFUNCTION("""COMPUTED_VALUE"""),"HS Center 7")</f>
        <v>HS Center 7</v>
      </c>
      <c r="C12" s="1">
        <f>IFERROR(__xludf.DUMMYFUNCTION("""COMPUTED_VALUE"""),1008.0)</f>
        <v>1008</v>
      </c>
      <c r="D12" s="2">
        <f>IFERROR(__xludf.DUMMYFUNCTION("""COMPUTED_VALUE"""),0.4222222222222222)</f>
        <v>0.4222222222</v>
      </c>
      <c r="E12" s="1">
        <f>IFERROR(__xludf.DUMMYFUNCTION("""COMPUTED_VALUE"""),1016.0)</f>
        <v>1016</v>
      </c>
      <c r="F12" s="1">
        <f>IFERROR(__xludf.DUMMYFUNCTION("""COMPUTED_VALUE"""),812.0)</f>
        <v>812</v>
      </c>
      <c r="G12" s="1" t="str">
        <f>IFERROR(__xludf.DUMMYFUNCTION("""COMPUTED_VALUE"""),"Funny but Appropriate")</f>
        <v>Funny but Appropriate</v>
      </c>
    </row>
    <row r="13">
      <c r="A13" s="1" t="str">
        <f>IFERROR(__xludf.DUMMYFUNCTION("""COMPUTED_VALUE"""),"GI")</f>
        <v>GI</v>
      </c>
      <c r="B13" s="1" t="str">
        <f>IFERROR(__xludf.DUMMYFUNCTION("""COMPUTED_VALUE"""),"HS Center 7")</f>
        <v>HS Center 7</v>
      </c>
      <c r="C13" s="1">
        <f>IFERROR(__xludf.DUMMYFUNCTION("""COMPUTED_VALUE"""),1020.0)</f>
        <v>1020</v>
      </c>
      <c r="D13" s="2">
        <f>IFERROR(__xludf.DUMMYFUNCTION("""COMPUTED_VALUE"""),0.4305555555555556)</f>
        <v>0.4305555556</v>
      </c>
      <c r="E13" s="1">
        <f>IFERROR(__xludf.DUMMYFUNCTION("""COMPUTED_VALUE"""),1028.0)</f>
        <v>1028</v>
      </c>
      <c r="F13" s="1">
        <f>IFERROR(__xludf.DUMMYFUNCTION("""COMPUTED_VALUE"""),948.0)</f>
        <v>948</v>
      </c>
      <c r="G13" s="1" t="str">
        <f>IFERROR(__xludf.DUMMYFUNCTION("""COMPUTED_VALUE"""),"Owens, Hamilton, Owens ")</f>
        <v>Owens, Hamilton, Owens </v>
      </c>
    </row>
    <row r="14">
      <c r="A14" s="1" t="str">
        <f>IFERROR(__xludf.DUMMYFUNCTION("""COMPUTED_VALUE"""),"GI")</f>
        <v>GI</v>
      </c>
      <c r="B14" s="1" t="str">
        <f>IFERROR(__xludf.DUMMYFUNCTION("""COMPUTED_VALUE"""),"HS Center 7")</f>
        <v>HS Center 7</v>
      </c>
      <c r="C14" s="1">
        <f>IFERROR(__xludf.DUMMYFUNCTION("""COMPUTED_VALUE"""),1032.0)</f>
        <v>1032</v>
      </c>
      <c r="D14" s="2">
        <f>IFERROR(__xludf.DUMMYFUNCTION("""COMPUTED_VALUE"""),0.4388888888888889)</f>
        <v>0.4388888889</v>
      </c>
      <c r="E14" s="1">
        <f>IFERROR(__xludf.DUMMYFUNCTION("""COMPUTED_VALUE"""),1040.0)</f>
        <v>1040</v>
      </c>
      <c r="F14" s="1">
        <f>IFERROR(__xludf.DUMMYFUNCTION("""COMPUTED_VALUE"""),868.0)</f>
        <v>868</v>
      </c>
      <c r="G14" s="1" t="str">
        <f>IFERROR(__xludf.DUMMYFUNCTION("""COMPUTED_VALUE"""),"Hotz")</f>
        <v>Hotz</v>
      </c>
    </row>
    <row r="15">
      <c r="A15" s="1" t="str">
        <f>IFERROR(__xludf.DUMMYFUNCTION("""COMPUTED_VALUE"""),"GI")</f>
        <v>GI</v>
      </c>
      <c r="B15" s="1" t="str">
        <f>IFERROR(__xludf.DUMMYFUNCTION("""COMPUTED_VALUE"""),"HS Center 7")</f>
        <v>HS Center 7</v>
      </c>
      <c r="C15" s="1">
        <f>IFERROR(__xludf.DUMMYFUNCTION("""COMPUTED_VALUE"""),1044.0)</f>
        <v>1044</v>
      </c>
      <c r="D15" s="2">
        <f>IFERROR(__xludf.DUMMYFUNCTION("""COMPUTED_VALUE"""),0.44722222222222224)</f>
        <v>0.4472222222</v>
      </c>
      <c r="E15" s="1"/>
      <c r="F15" s="1" t="str">
        <f>IFERROR(__xludf.DUMMYFUNCTION("""COMPUTED_VALUE"""),"BREAK")</f>
        <v>BREAK</v>
      </c>
      <c r="G15" s="1"/>
    </row>
    <row r="16">
      <c r="A16" s="1" t="str">
        <f>IFERROR(__xludf.DUMMYFUNCTION("""COMPUTED_VALUE"""),"GI")</f>
        <v>GI</v>
      </c>
      <c r="B16" s="1" t="str">
        <f>IFERROR(__xludf.DUMMYFUNCTION("""COMPUTED_VALUE"""),"HS Center 7")</f>
        <v>HS Center 7</v>
      </c>
      <c r="C16" s="1">
        <f>IFERROR(__xludf.DUMMYFUNCTION("""COMPUTED_VALUE"""),1104.0)</f>
        <v>1104</v>
      </c>
      <c r="D16" s="2">
        <f>IFERROR(__xludf.DUMMYFUNCTION("""COMPUTED_VALUE"""),0.46111111111111114)</f>
        <v>0.4611111111</v>
      </c>
      <c r="E16" s="1">
        <f>IFERROR(__xludf.DUMMYFUNCTION("""COMPUTED_VALUE"""),1112.0)</f>
        <v>1112</v>
      </c>
      <c r="F16" s="1">
        <f>IFERROR(__xludf.DUMMYFUNCTION("""COMPUTED_VALUE"""),937.0)</f>
        <v>937</v>
      </c>
      <c r="G16" s="1" t="str">
        <f>IFERROR(__xludf.DUMMYFUNCTION("""COMPUTED_VALUE"""),"Smuckles ")</f>
        <v>Smuckles </v>
      </c>
    </row>
    <row r="17">
      <c r="A17" s="1" t="str">
        <f>IFERROR(__xludf.DUMMYFUNCTION("""COMPUTED_VALUE"""),"GI")</f>
        <v>GI</v>
      </c>
      <c r="B17" s="1" t="str">
        <f>IFERROR(__xludf.DUMMYFUNCTION("""COMPUTED_VALUE"""),"HS Center 7")</f>
        <v>HS Center 7</v>
      </c>
      <c r="C17" s="1">
        <f>IFERROR(__xludf.DUMMYFUNCTION("""COMPUTED_VALUE"""),1116.0)</f>
        <v>1116</v>
      </c>
      <c r="D17" s="2">
        <f>IFERROR(__xludf.DUMMYFUNCTION("""COMPUTED_VALUE"""),0.46944444444444444)</f>
        <v>0.4694444444</v>
      </c>
      <c r="E17" s="1">
        <f>IFERROR(__xludf.DUMMYFUNCTION("""COMPUTED_VALUE"""),1124.0)</f>
        <v>1124</v>
      </c>
      <c r="F17" s="1">
        <f>IFERROR(__xludf.DUMMYFUNCTION("""COMPUTED_VALUE"""),235.0)</f>
        <v>235</v>
      </c>
      <c r="G17" s="1" t="str">
        <f>IFERROR(__xludf.DUMMYFUNCTION("""COMPUTED_VALUE"""),"Just Us Girls")</f>
        <v>Just Us Girls</v>
      </c>
    </row>
    <row r="18">
      <c r="A18" s="1" t="str">
        <f>IFERROR(__xludf.DUMMYFUNCTION("""COMPUTED_VALUE"""),"GI")</f>
        <v>GI</v>
      </c>
      <c r="B18" s="1" t="str">
        <f>IFERROR(__xludf.DUMMYFUNCTION("""COMPUTED_VALUE"""),"HS Center 7")</f>
        <v>HS Center 7</v>
      </c>
      <c r="C18" s="1">
        <f>IFERROR(__xludf.DUMMYFUNCTION("""COMPUTED_VALUE"""),1128.0)</f>
        <v>1128</v>
      </c>
      <c r="D18" s="2">
        <f>IFERROR(__xludf.DUMMYFUNCTION("""COMPUTED_VALUE"""),0.4861111111111111)</f>
        <v>0.4861111111</v>
      </c>
      <c r="E18" s="1">
        <f>IFERROR(__xludf.DUMMYFUNCTION("""COMPUTED_VALUE"""),1136.0)</f>
        <v>1136</v>
      </c>
      <c r="F18" s="1"/>
      <c r="G18" s="1"/>
    </row>
    <row r="19">
      <c r="A19" s="1" t="str">
        <f>IFERROR(__xludf.DUMMYFUNCTION("""COMPUTED_VALUE"""),"GI")</f>
        <v>GI</v>
      </c>
      <c r="B19" s="1" t="str">
        <f>IFERROR(__xludf.DUMMYFUNCTION("""COMPUTED_VALUE"""),"HS Center 7")</f>
        <v>HS Center 7</v>
      </c>
      <c r="C19" s="1">
        <f>IFERROR(__xludf.DUMMYFUNCTION("""COMPUTED_VALUE"""),1140.0)</f>
        <v>1140</v>
      </c>
      <c r="D19" s="2">
        <f>IFERROR(__xludf.DUMMYFUNCTION("""COMPUTED_VALUE"""),0.4861111111111111)</f>
        <v>0.4861111111</v>
      </c>
      <c r="E19" s="1">
        <f>IFERROR(__xludf.DUMMYFUNCTION("""COMPUTED_VALUE"""),1148.0)</f>
        <v>1148</v>
      </c>
      <c r="F19" s="1">
        <f>IFERROR(__xludf.DUMMYFUNCTION("""COMPUTED_VALUE"""),563.0)</f>
        <v>563</v>
      </c>
      <c r="G19" s="1" t="str">
        <f>IFERROR(__xludf.DUMMYFUNCTION("""COMPUTED_VALUE"""),"BTE")</f>
        <v>BTE</v>
      </c>
    </row>
    <row r="20">
      <c r="A20" s="1" t="str">
        <f>IFERROR(__xludf.DUMMYFUNCTION("""COMPUTED_VALUE"""),"GI")</f>
        <v>GI</v>
      </c>
      <c r="B20" s="1" t="str">
        <f>IFERROR(__xludf.DUMMYFUNCTION("""COMPUTED_VALUE"""),"HS Center 7")</f>
        <v>HS Center 7</v>
      </c>
      <c r="C20" s="1">
        <f>IFERROR(__xludf.DUMMYFUNCTION("""COMPUTED_VALUE"""),1152.0)</f>
        <v>1152</v>
      </c>
      <c r="D20" s="2">
        <f>IFERROR(__xludf.DUMMYFUNCTION("""COMPUTED_VALUE"""),0.49444444444444446)</f>
        <v>0.4944444444</v>
      </c>
      <c r="E20" s="1">
        <f>IFERROR(__xludf.DUMMYFUNCTION("""COMPUTED_VALUE"""),1200.0)</f>
        <v>1200</v>
      </c>
      <c r="F20" s="1">
        <f>IFERROR(__xludf.DUMMYFUNCTION("""COMPUTED_VALUE"""),954.0)</f>
        <v>954</v>
      </c>
      <c r="G20" s="1" t="str">
        <f>IFERROR(__xludf.DUMMYFUNCTION("""COMPUTED_VALUE"""),"So Fresh")</f>
        <v>So Fresh</v>
      </c>
    </row>
    <row r="21">
      <c r="A21" s="1" t="str">
        <f>IFERROR(__xludf.DUMMYFUNCTION("""COMPUTED_VALUE"""),"GI")</f>
        <v>GI</v>
      </c>
      <c r="B21" s="1" t="str">
        <f>IFERROR(__xludf.DUMMYFUNCTION("""COMPUTED_VALUE"""),"HS Center 7")</f>
        <v>HS Center 7</v>
      </c>
      <c r="C21" s="1">
        <f>IFERROR(__xludf.DUMMYFUNCTION("""COMPUTED_VALUE"""),1204.0)</f>
        <v>1204</v>
      </c>
      <c r="D21" s="2">
        <f>IFERROR(__xludf.DUMMYFUNCTION("""COMPUTED_VALUE"""),0.5027777777777778)</f>
        <v>0.5027777778</v>
      </c>
      <c r="E21" s="1">
        <f>IFERROR(__xludf.DUMMYFUNCTION("""COMPUTED_VALUE"""),1212.0)</f>
        <v>1212</v>
      </c>
      <c r="F21" s="1">
        <f>IFERROR(__xludf.DUMMYFUNCTION("""COMPUTED_VALUE"""),812.0)</f>
        <v>812</v>
      </c>
      <c r="G21" s="1" t="str">
        <f>IFERROR(__xludf.DUMMYFUNCTION("""COMPUTED_VALUE"""),"The Orphaned Ducks")</f>
        <v>The Orphaned Ducks</v>
      </c>
    </row>
    <row r="22">
      <c r="A22" s="1" t="str">
        <f>IFERROR(__xludf.DUMMYFUNCTION("""COMPUTED_VALUE"""),"GI")</f>
        <v>GI</v>
      </c>
      <c r="B22" s="1" t="str">
        <f>IFERROR(__xludf.DUMMYFUNCTION("""COMPUTED_VALUE"""),"HS Center 7")</f>
        <v>HS Center 7</v>
      </c>
      <c r="C22" s="1">
        <f>IFERROR(__xludf.DUMMYFUNCTION("""COMPUTED_VALUE"""),1216.0)</f>
        <v>1216</v>
      </c>
      <c r="D22" s="2">
        <f>IFERROR(__xludf.DUMMYFUNCTION("""COMPUTED_VALUE"""),0.5111111111111111)</f>
        <v>0.5111111111</v>
      </c>
      <c r="E22" s="1"/>
      <c r="F22" s="1" t="str">
        <f>IFERROR(__xludf.DUMMYFUNCTION("""COMPUTED_VALUE"""),"BREAK")</f>
        <v>BREAK</v>
      </c>
      <c r="G22" s="1"/>
    </row>
    <row r="23">
      <c r="A23" s="1" t="str">
        <f>IFERROR(__xludf.DUMMYFUNCTION("""COMPUTED_VALUE"""),"GI")</f>
        <v>GI</v>
      </c>
      <c r="B23" s="1" t="str">
        <f>IFERROR(__xludf.DUMMYFUNCTION("""COMPUTED_VALUE"""),"HS Center 7")</f>
        <v>HS Center 7</v>
      </c>
      <c r="C23" s="1">
        <f>IFERROR(__xludf.DUMMYFUNCTION("""COMPUTED_VALUE"""),1306.0)</f>
        <v>1306</v>
      </c>
      <c r="D23" s="2">
        <f>IFERROR(__xludf.DUMMYFUNCTION("""COMPUTED_VALUE"""),0.5458333333333333)</f>
        <v>0.5458333333</v>
      </c>
      <c r="E23" s="1">
        <f>IFERROR(__xludf.DUMMYFUNCTION("""COMPUTED_VALUE"""),1314.0)</f>
        <v>1314</v>
      </c>
      <c r="F23" s="1">
        <f>IFERROR(__xludf.DUMMYFUNCTION("""COMPUTED_VALUE"""),868.0)</f>
        <v>868</v>
      </c>
      <c r="G23" s="1" t="str">
        <f>IFERROR(__xludf.DUMMYFUNCTION("""COMPUTED_VALUE"""),"Alt")</f>
        <v>Alt</v>
      </c>
    </row>
    <row r="24">
      <c r="A24" s="1" t="str">
        <f>IFERROR(__xludf.DUMMYFUNCTION("""COMPUTED_VALUE"""),"GI")</f>
        <v>GI</v>
      </c>
      <c r="B24" s="1" t="str">
        <f>IFERROR(__xludf.DUMMYFUNCTION("""COMPUTED_VALUE"""),"HS Center 7")</f>
        <v>HS Center 7</v>
      </c>
      <c r="C24" s="1">
        <f>IFERROR(__xludf.DUMMYFUNCTION("""COMPUTED_VALUE"""),1318.0)</f>
        <v>1318</v>
      </c>
      <c r="D24" s="2">
        <f>IFERROR(__xludf.DUMMYFUNCTION("""COMPUTED_VALUE"""),0.5541666666666667)</f>
        <v>0.5541666667</v>
      </c>
      <c r="E24" s="1">
        <f>IFERROR(__xludf.DUMMYFUNCTION("""COMPUTED_VALUE"""),1326.0)</f>
        <v>1326</v>
      </c>
      <c r="F24" s="1">
        <f>IFERROR(__xludf.DUMMYFUNCTION("""COMPUTED_VALUE"""),633.0)</f>
        <v>633</v>
      </c>
      <c r="G24" s="1" t="str">
        <f>IFERROR(__xludf.DUMMYFUNCTION("""COMPUTED_VALUE"""),"The Triracials")</f>
        <v>The Triracials</v>
      </c>
    </row>
    <row r="25">
      <c r="A25" s="1" t="str">
        <f>IFERROR(__xludf.DUMMYFUNCTION("""COMPUTED_VALUE"""),"GI")</f>
        <v>GI</v>
      </c>
      <c r="B25" s="1" t="str">
        <f>IFERROR(__xludf.DUMMYFUNCTION("""COMPUTED_VALUE"""),"HS Center 7")</f>
        <v>HS Center 7</v>
      </c>
      <c r="C25" s="1">
        <f>IFERROR(__xludf.DUMMYFUNCTION("""COMPUTED_VALUE"""),1330.0)</f>
        <v>1330</v>
      </c>
      <c r="D25" s="2">
        <f>IFERROR(__xludf.DUMMYFUNCTION("""COMPUTED_VALUE"""),0.5625)</f>
        <v>0.5625</v>
      </c>
      <c r="E25" s="1">
        <f>IFERROR(__xludf.DUMMYFUNCTION("""COMPUTED_VALUE"""),1338.0)</f>
        <v>1338</v>
      </c>
      <c r="F25" s="1">
        <f>IFERROR(__xludf.DUMMYFUNCTION("""COMPUTED_VALUE"""),948.0)</f>
        <v>948</v>
      </c>
      <c r="G25" s="1" t="str">
        <f>IFERROR(__xludf.DUMMYFUNCTION("""COMPUTED_VALUE"""),"Harrington, Wickum, Ray")</f>
        <v>Harrington, Wickum, Ray</v>
      </c>
    </row>
    <row r="26">
      <c r="A26" s="1" t="str">
        <f>IFERROR(__xludf.DUMMYFUNCTION("""COMPUTED_VALUE"""),"GI")</f>
        <v>GI</v>
      </c>
      <c r="B26" s="1" t="str">
        <f>IFERROR(__xludf.DUMMYFUNCTION("""COMPUTED_VALUE"""),"HS Center 7")</f>
        <v>HS Center 7</v>
      </c>
      <c r="C26" s="1">
        <f>IFERROR(__xludf.DUMMYFUNCTION("""COMPUTED_VALUE"""),1342.0)</f>
        <v>1342</v>
      </c>
      <c r="D26" s="2">
        <f>IFERROR(__xludf.DUMMYFUNCTION("""COMPUTED_VALUE"""),0.5791666666666667)</f>
        <v>0.5791666667</v>
      </c>
      <c r="E26" s="1">
        <f>IFERROR(__xludf.DUMMYFUNCTION("""COMPUTED_VALUE"""),1350.0)</f>
        <v>1350</v>
      </c>
      <c r="F26" s="1"/>
      <c r="G26" s="1"/>
    </row>
    <row r="27">
      <c r="A27" s="1" t="str">
        <f>IFERROR(__xludf.DUMMYFUNCTION("""COMPUTED_VALUE"""),"GI")</f>
        <v>GI</v>
      </c>
      <c r="B27" s="1" t="str">
        <f>IFERROR(__xludf.DUMMYFUNCTION("""COMPUTED_VALUE"""),"HS Center 7")</f>
        <v>HS Center 7</v>
      </c>
      <c r="C27" s="1">
        <f>IFERROR(__xludf.DUMMYFUNCTION("""COMPUTED_VALUE"""),1354.0)</f>
        <v>1354</v>
      </c>
      <c r="D27" s="2">
        <f>IFERROR(__xludf.DUMMYFUNCTION("""COMPUTED_VALUE"""),0.5791666666666667)</f>
        <v>0.5791666667</v>
      </c>
      <c r="E27" s="1">
        <f>IFERROR(__xludf.DUMMYFUNCTION("""COMPUTED_VALUE"""),1402.0)</f>
        <v>1402</v>
      </c>
      <c r="F27" s="1">
        <f>IFERROR(__xludf.DUMMYFUNCTION("""COMPUTED_VALUE"""),623.0)</f>
        <v>623</v>
      </c>
      <c r="G27" s="1" t="str">
        <f>IFERROR(__xludf.DUMMYFUNCTION("""COMPUTED_VALUE"""),"Peach et al")</f>
        <v>Peach et al</v>
      </c>
    </row>
    <row r="28">
      <c r="A28" s="1" t="str">
        <f>IFERROR(__xludf.DUMMYFUNCTION("""COMPUTED_VALUE"""),"GI")</f>
        <v>GI</v>
      </c>
      <c r="B28" s="1" t="str">
        <f>IFERROR(__xludf.DUMMYFUNCTION("""COMPUTED_VALUE"""),"HS Center 7")</f>
        <v>HS Center 7</v>
      </c>
      <c r="C28" s="1">
        <f>IFERROR(__xludf.DUMMYFUNCTION("""COMPUTED_VALUE"""),1406.0)</f>
        <v>1406</v>
      </c>
      <c r="D28" s="2">
        <f>IFERROR(__xludf.DUMMYFUNCTION("""COMPUTED_VALUE"""),0.5875)</f>
        <v>0.5875</v>
      </c>
      <c r="E28" s="1">
        <f>IFERROR(__xludf.DUMMYFUNCTION("""COMPUTED_VALUE"""),1414.0)</f>
        <v>1414</v>
      </c>
      <c r="F28" s="1">
        <f>IFERROR(__xludf.DUMMYFUNCTION("""COMPUTED_VALUE"""),937.0)</f>
        <v>937</v>
      </c>
      <c r="G28" s="1" t="str">
        <f>IFERROR(__xludf.DUMMYFUNCTION("""COMPUTED_VALUE"""),"TBD")</f>
        <v>TBD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86"/>
    <col customWidth="1" min="3" max="3" width="7.43"/>
    <col customWidth="1" min="5" max="5" width="7.0"/>
    <col customWidth="1" min="6" max="6" width="8.29"/>
    <col customWidth="1" min="7" max="7" width="27.14"/>
  </cols>
  <sheetData>
    <row r="1">
      <c r="A1" s="1" t="str">
        <f>IFERROR(__xludf.DUMMYFUNCTION("IMPORTRANGE(""https://docs.google.com/spreadsheets/d/1PHiz0I6v3EHBf7Pv8Pgf6mobEMX6t4_SrMKOz1XC7KE/edit#gid=1202109247"",""Center 8 GI!A1:E28"")"),"Category")</f>
        <v>Category</v>
      </c>
      <c r="B1" s="1" t="str">
        <f>IFERROR(__xludf.DUMMYFUNCTION("""COMPUTED_VALUE"""),"Room/Center")</f>
        <v>Room/Center</v>
      </c>
      <c r="C1" s="1" t="str">
        <f>IFERROR(__xludf.DUMMYFUNCTION("""COMPUTED_VALUE"""),"Start")</f>
        <v>Start</v>
      </c>
      <c r="D1" s="1"/>
      <c r="E1" s="1" t="str">
        <f>IFERROR(__xludf.DUMMYFUNCTION("""COMPUTED_VALUE"""),"End")</f>
        <v>End</v>
      </c>
      <c r="F1" s="1" t="str">
        <f>IFERROR(__xludf.DUMMYFUNCTION("IMPORTRANGE(""https://docs.google.com/spreadsheets/d/1PHiz0I6v3EHBf7Pv8Pgf6mobEMX6t4_SrMKOz1XC7KE/edit#gid=1202109247"",""Center 8 GI!G1:H28"")"),"Code")</f>
        <v>Code</v>
      </c>
      <c r="G1" s="1" t="str">
        <f>IFERROR(__xludf.DUMMYFUNCTION("""COMPUTED_VALUE"""),"EntryTitle")</f>
        <v>EntryTitle</v>
      </c>
    </row>
    <row r="2">
      <c r="A2" s="1" t="str">
        <f>IFERROR(__xludf.DUMMYFUNCTION("""COMPUTED_VALUE"""),"GI")</f>
        <v>GI</v>
      </c>
      <c r="B2" s="1" t="str">
        <f>IFERROR(__xludf.DUMMYFUNCTION("""COMPUTED_VALUE"""),"HS Center 8")</f>
        <v>HS Center 8</v>
      </c>
      <c r="C2" s="1">
        <f>IFERROR(__xludf.DUMMYFUNCTION("""COMPUTED_VALUE"""),800.0)</f>
        <v>800</v>
      </c>
      <c r="D2" s="2">
        <f>IFERROR(__xludf.DUMMYFUNCTION("""COMPUTED_VALUE"""),0.3333333333333333)</f>
        <v>0.3333333333</v>
      </c>
      <c r="E2" s="1">
        <f>IFERROR(__xludf.DUMMYFUNCTION("""COMPUTED_VALUE"""),808.0)</f>
        <v>808</v>
      </c>
      <c r="F2" s="1">
        <f>IFERROR(__xludf.DUMMYFUNCTION("""COMPUTED_VALUE"""),983.0)</f>
        <v>983</v>
      </c>
      <c r="G2" s="1" t="str">
        <f>IFERROR(__xludf.DUMMYFUNCTION("""COMPUTED_VALUE"""),"Sebetka, Johnson, Nelson")</f>
        <v>Sebetka, Johnson, Nelson</v>
      </c>
    </row>
    <row r="3">
      <c r="A3" s="1" t="str">
        <f>IFERROR(__xludf.DUMMYFUNCTION("""COMPUTED_VALUE"""),"GI")</f>
        <v>GI</v>
      </c>
      <c r="B3" s="1" t="str">
        <f>IFERROR(__xludf.DUMMYFUNCTION("""COMPUTED_VALUE"""),"HS Center 8")</f>
        <v>HS Center 8</v>
      </c>
      <c r="C3" s="1">
        <f>IFERROR(__xludf.DUMMYFUNCTION("""COMPUTED_VALUE"""),812.0)</f>
        <v>812</v>
      </c>
      <c r="D3" s="2">
        <f>IFERROR(__xludf.DUMMYFUNCTION("""COMPUTED_VALUE"""),0.3416666666666667)</f>
        <v>0.3416666667</v>
      </c>
      <c r="E3" s="1">
        <f>IFERROR(__xludf.DUMMYFUNCTION("""COMPUTED_VALUE"""),820.0)</f>
        <v>820</v>
      </c>
      <c r="F3" s="1">
        <f>IFERROR(__xludf.DUMMYFUNCTION("""COMPUTED_VALUE"""),657.0)</f>
        <v>657</v>
      </c>
      <c r="G3" s="1" t="str">
        <f>IFERROR(__xludf.DUMMYFUNCTION("""COMPUTED_VALUE"""),"Bustamante")</f>
        <v>Bustamante</v>
      </c>
    </row>
    <row r="4">
      <c r="A4" s="1" t="str">
        <f>IFERROR(__xludf.DUMMYFUNCTION("""COMPUTED_VALUE"""),"GI")</f>
        <v>GI</v>
      </c>
      <c r="B4" s="1" t="str">
        <f>IFERROR(__xludf.DUMMYFUNCTION("""COMPUTED_VALUE"""),"HS Center 8")</f>
        <v>HS Center 8</v>
      </c>
      <c r="C4" s="1">
        <f>IFERROR(__xludf.DUMMYFUNCTION("""COMPUTED_VALUE"""),824.0)</f>
        <v>824</v>
      </c>
      <c r="D4" s="2">
        <f>IFERROR(__xludf.DUMMYFUNCTION("""COMPUTED_VALUE"""),0.35)</f>
        <v>0.35</v>
      </c>
      <c r="E4" s="1">
        <f>IFERROR(__xludf.DUMMYFUNCTION("""COMPUTED_VALUE"""),832.0)</f>
        <v>832</v>
      </c>
      <c r="F4" s="1">
        <f>IFERROR(__xludf.DUMMYFUNCTION("""COMPUTED_VALUE"""),759.0)</f>
        <v>759</v>
      </c>
      <c r="G4" s="1" t="str">
        <f>IFERROR(__xludf.DUMMYFUNCTION("""COMPUTED_VALUE"""),"Probasco")</f>
        <v>Probasco</v>
      </c>
    </row>
    <row r="5">
      <c r="A5" s="1" t="str">
        <f>IFERROR(__xludf.DUMMYFUNCTION("""COMPUTED_VALUE"""),"GI")</f>
        <v>GI</v>
      </c>
      <c r="B5" s="1" t="str">
        <f>IFERROR(__xludf.DUMMYFUNCTION("""COMPUTED_VALUE"""),"HS Center 8")</f>
        <v>HS Center 8</v>
      </c>
      <c r="C5" s="1">
        <f>IFERROR(__xludf.DUMMYFUNCTION("""COMPUTED_VALUE"""),836.0)</f>
        <v>836</v>
      </c>
      <c r="D5" s="2">
        <f>IFERROR(__xludf.DUMMYFUNCTION("""COMPUTED_VALUE"""),0.35833333333333334)</f>
        <v>0.3583333333</v>
      </c>
      <c r="E5" s="1">
        <f>IFERROR(__xludf.DUMMYFUNCTION("""COMPUTED_VALUE"""),844.0)</f>
        <v>844</v>
      </c>
      <c r="F5" s="1">
        <f>IFERROR(__xludf.DUMMYFUNCTION("""COMPUTED_VALUE"""),233.0)</f>
        <v>233</v>
      </c>
      <c r="G5" s="1" t="str">
        <f>IFERROR(__xludf.DUMMYFUNCTION("""COMPUTED_VALUE"""),"House and Jaishy")</f>
        <v>House and Jaishy</v>
      </c>
    </row>
    <row r="6">
      <c r="A6" s="1" t="str">
        <f>IFERROR(__xludf.DUMMYFUNCTION("""COMPUTED_VALUE"""),"GI")</f>
        <v>GI</v>
      </c>
      <c r="B6" s="1" t="str">
        <f>IFERROR(__xludf.DUMMYFUNCTION("""COMPUTED_VALUE"""),"HS Center 8")</f>
        <v>HS Center 8</v>
      </c>
      <c r="C6" s="1">
        <f>IFERROR(__xludf.DUMMYFUNCTION("""COMPUTED_VALUE"""),848.0)</f>
        <v>848</v>
      </c>
      <c r="D6" s="2">
        <f>IFERROR(__xludf.DUMMYFUNCTION("""COMPUTED_VALUE"""),0.36666666666666664)</f>
        <v>0.3666666667</v>
      </c>
      <c r="E6" s="1">
        <f>IFERROR(__xludf.DUMMYFUNCTION("""COMPUTED_VALUE"""),856.0)</f>
        <v>856</v>
      </c>
      <c r="F6" s="1">
        <f>IFERROR(__xludf.DUMMYFUNCTION("""COMPUTED_VALUE"""),293.0)</f>
        <v>293</v>
      </c>
      <c r="G6" s="1" t="str">
        <f>IFERROR(__xludf.DUMMYFUNCTION("""COMPUTED_VALUE"""),"Beaker")</f>
        <v>Beaker</v>
      </c>
    </row>
    <row r="7">
      <c r="A7" s="1" t="str">
        <f>IFERROR(__xludf.DUMMYFUNCTION("""COMPUTED_VALUE"""),"GI")</f>
        <v>GI</v>
      </c>
      <c r="B7" s="1" t="str">
        <f>IFERROR(__xludf.DUMMYFUNCTION("""COMPUTED_VALUE"""),"HS Center 8")</f>
        <v>HS Center 8</v>
      </c>
      <c r="C7" s="1">
        <f>IFERROR(__xludf.DUMMYFUNCTION("""COMPUTED_VALUE"""),900.0)</f>
        <v>900</v>
      </c>
      <c r="D7" s="2">
        <f>IFERROR(__xludf.DUMMYFUNCTION("""COMPUTED_VALUE"""),0.38333333333333336)</f>
        <v>0.3833333333</v>
      </c>
      <c r="E7" s="1">
        <f>IFERROR(__xludf.DUMMYFUNCTION("""COMPUTED_VALUE"""),908.0)</f>
        <v>908</v>
      </c>
      <c r="F7" s="1">
        <f>IFERROR(__xludf.DUMMYFUNCTION("""COMPUTED_VALUE"""),563.0)</f>
        <v>563</v>
      </c>
      <c r="G7" s="1" t="str">
        <f>IFERROR(__xludf.DUMMYFUNCTION("""COMPUTED_VALUE"""),"Senior Girls")</f>
        <v>Senior Girls</v>
      </c>
    </row>
    <row r="8">
      <c r="A8" s="1" t="str">
        <f>IFERROR(__xludf.DUMMYFUNCTION("""COMPUTED_VALUE"""),"GI")</f>
        <v>GI</v>
      </c>
      <c r="B8" s="1" t="str">
        <f>IFERROR(__xludf.DUMMYFUNCTION("""COMPUTED_VALUE"""),"HS Center 8")</f>
        <v>HS Center 8</v>
      </c>
      <c r="C8" s="1">
        <f>IFERROR(__xludf.DUMMYFUNCTION("""COMPUTED_VALUE"""),912.0)</f>
        <v>912</v>
      </c>
      <c r="D8" s="2">
        <f>IFERROR(__xludf.DUMMYFUNCTION("""COMPUTED_VALUE"""),0.38333333333333336)</f>
        <v>0.3833333333</v>
      </c>
      <c r="E8" s="1"/>
      <c r="F8" s="1" t="str">
        <f>IFERROR(__xludf.DUMMYFUNCTION("""COMPUTED_VALUE"""),"BREAK")</f>
        <v>BREAK</v>
      </c>
      <c r="G8" s="1"/>
    </row>
    <row r="9">
      <c r="A9" s="1" t="str">
        <f>IFERROR(__xludf.DUMMYFUNCTION("""COMPUTED_VALUE"""),"GI")</f>
        <v>GI</v>
      </c>
      <c r="B9" s="1" t="str">
        <f>IFERROR(__xludf.DUMMYFUNCTION("""COMPUTED_VALUE"""),"HS Center 8")</f>
        <v>HS Center 8</v>
      </c>
      <c r="C9" s="1">
        <f>IFERROR(__xludf.DUMMYFUNCTION("""COMPUTED_VALUE"""),932.0)</f>
        <v>932</v>
      </c>
      <c r="D9" s="2">
        <f>IFERROR(__xludf.DUMMYFUNCTION("""COMPUTED_VALUE"""),0.3972222222222222)</f>
        <v>0.3972222222</v>
      </c>
      <c r="E9" s="1">
        <f>IFERROR(__xludf.DUMMYFUNCTION("""COMPUTED_VALUE"""),940.0)</f>
        <v>940</v>
      </c>
      <c r="F9" s="1"/>
      <c r="G9" s="1"/>
    </row>
    <row r="10">
      <c r="A10" s="1" t="str">
        <f>IFERROR(__xludf.DUMMYFUNCTION("""COMPUTED_VALUE"""),"GI")</f>
        <v>GI</v>
      </c>
      <c r="B10" s="1" t="str">
        <f>IFERROR(__xludf.DUMMYFUNCTION("""COMPUTED_VALUE"""),"HS Center 8")</f>
        <v>HS Center 8</v>
      </c>
      <c r="C10" s="1">
        <f>IFERROR(__xludf.DUMMYFUNCTION("""COMPUTED_VALUE"""),944.0)</f>
        <v>944</v>
      </c>
      <c r="D10" s="2">
        <f>IFERROR(__xludf.DUMMYFUNCTION("""COMPUTED_VALUE"""),0.40555555555555556)</f>
        <v>0.4055555556</v>
      </c>
      <c r="E10" s="1">
        <f>IFERROR(__xludf.DUMMYFUNCTION("""COMPUTED_VALUE"""),952.0)</f>
        <v>952</v>
      </c>
      <c r="F10" s="1">
        <f>IFERROR(__xludf.DUMMYFUNCTION("""COMPUTED_VALUE"""),948.0)</f>
        <v>948</v>
      </c>
      <c r="G10" s="1" t="str">
        <f>IFERROR(__xludf.DUMMYFUNCTION("""COMPUTED_VALUE"""),"Farmer, Dawson, Pospisil ")</f>
        <v>Farmer, Dawson, Pospisil </v>
      </c>
    </row>
    <row r="11">
      <c r="A11" s="1" t="str">
        <f>IFERROR(__xludf.DUMMYFUNCTION("""COMPUTED_VALUE"""),"GI")</f>
        <v>GI</v>
      </c>
      <c r="B11" s="1" t="str">
        <f>IFERROR(__xludf.DUMMYFUNCTION("""COMPUTED_VALUE"""),"HS Center 8")</f>
        <v>HS Center 8</v>
      </c>
      <c r="C11" s="1">
        <f>IFERROR(__xludf.DUMMYFUNCTION("""COMPUTED_VALUE"""),956.0)</f>
        <v>956</v>
      </c>
      <c r="D11" s="2">
        <f>IFERROR(__xludf.DUMMYFUNCTION("""COMPUTED_VALUE"""),0.41388888888888886)</f>
        <v>0.4138888889</v>
      </c>
      <c r="E11" s="1">
        <f>IFERROR(__xludf.DUMMYFUNCTION("""COMPUTED_VALUE"""),1004.0)</f>
        <v>1004</v>
      </c>
      <c r="F11" s="1">
        <f>IFERROR(__xludf.DUMMYFUNCTION("""COMPUTED_VALUE"""),563.0)</f>
        <v>563</v>
      </c>
      <c r="G11" s="1" t="str">
        <f>IFERROR(__xludf.DUMMYFUNCTION("""COMPUTED_VALUE"""),"BTG")</f>
        <v>BTG</v>
      </c>
    </row>
    <row r="12">
      <c r="A12" s="1" t="str">
        <f>IFERROR(__xludf.DUMMYFUNCTION("""COMPUTED_VALUE"""),"GI")</f>
        <v>GI</v>
      </c>
      <c r="B12" s="1" t="str">
        <f>IFERROR(__xludf.DUMMYFUNCTION("""COMPUTED_VALUE"""),"HS Center 8")</f>
        <v>HS Center 8</v>
      </c>
      <c r="C12" s="1">
        <f>IFERROR(__xludf.DUMMYFUNCTION("""COMPUTED_VALUE"""),1008.0)</f>
        <v>1008</v>
      </c>
      <c r="D12" s="2">
        <f>IFERROR(__xludf.DUMMYFUNCTION("""COMPUTED_VALUE"""),0.4222222222222222)</f>
        <v>0.4222222222</v>
      </c>
      <c r="E12" s="1">
        <f>IFERROR(__xludf.DUMMYFUNCTION("""COMPUTED_VALUE"""),1016.0)</f>
        <v>1016</v>
      </c>
      <c r="F12" s="1">
        <f>IFERROR(__xludf.DUMMYFUNCTION("""COMPUTED_VALUE"""),131.0)</f>
        <v>131</v>
      </c>
      <c r="G12" s="1" t="str">
        <f>IFERROR(__xludf.DUMMYFUNCTION("""COMPUTED_VALUE"""),"The Farce Force")</f>
        <v>The Farce Force</v>
      </c>
    </row>
    <row r="13">
      <c r="A13" s="1" t="str">
        <f>IFERROR(__xludf.DUMMYFUNCTION("""COMPUTED_VALUE"""),"GI")</f>
        <v>GI</v>
      </c>
      <c r="B13" s="1" t="str">
        <f>IFERROR(__xludf.DUMMYFUNCTION("""COMPUTED_VALUE"""),"HS Center 8")</f>
        <v>HS Center 8</v>
      </c>
      <c r="C13" s="1">
        <f>IFERROR(__xludf.DUMMYFUNCTION("""COMPUTED_VALUE"""),1020.0)</f>
        <v>1020</v>
      </c>
      <c r="D13" s="2">
        <f>IFERROR(__xludf.DUMMYFUNCTION("""COMPUTED_VALUE"""),0.4305555555555556)</f>
        <v>0.4305555556</v>
      </c>
      <c r="E13" s="1">
        <f>IFERROR(__xludf.DUMMYFUNCTION("""COMPUTED_VALUE"""),1028.0)</f>
        <v>1028</v>
      </c>
      <c r="F13" s="1">
        <f>IFERROR(__xludf.DUMMYFUNCTION("""COMPUTED_VALUE"""),937.0)</f>
        <v>937</v>
      </c>
      <c r="G13" s="1" t="str">
        <f>IFERROR(__xludf.DUMMYFUNCTION("""COMPUTED_VALUE"""),"Kazenzakis")</f>
        <v>Kazenzakis</v>
      </c>
    </row>
    <row r="14">
      <c r="A14" s="1" t="str">
        <f>IFERROR(__xludf.DUMMYFUNCTION("""COMPUTED_VALUE"""),"GI")</f>
        <v>GI</v>
      </c>
      <c r="B14" s="1" t="str">
        <f>IFERROR(__xludf.DUMMYFUNCTION("""COMPUTED_VALUE"""),"HS Center 8")</f>
        <v>HS Center 8</v>
      </c>
      <c r="C14" s="1">
        <f>IFERROR(__xludf.DUMMYFUNCTION("""COMPUTED_VALUE"""),1032.0)</f>
        <v>1032</v>
      </c>
      <c r="D14" s="2">
        <f>IFERROR(__xludf.DUMMYFUNCTION("""COMPUTED_VALUE"""),0.4388888888888889)</f>
        <v>0.4388888889</v>
      </c>
      <c r="E14" s="1">
        <f>IFERROR(__xludf.DUMMYFUNCTION("""COMPUTED_VALUE"""),1040.0)</f>
        <v>1040</v>
      </c>
      <c r="F14" s="1">
        <f>IFERROR(__xludf.DUMMYFUNCTION("""COMPUTED_VALUE"""),967.0)</f>
        <v>967</v>
      </c>
      <c r="G14" s="1" t="str">
        <f>IFERROR(__xludf.DUMMYFUNCTION("""COMPUTED_VALUE"""),"Gamgee")</f>
        <v>Gamgee</v>
      </c>
    </row>
    <row r="15">
      <c r="A15" s="1" t="str">
        <f>IFERROR(__xludf.DUMMYFUNCTION("""COMPUTED_VALUE"""),"GI")</f>
        <v>GI</v>
      </c>
      <c r="B15" s="1" t="str">
        <f>IFERROR(__xludf.DUMMYFUNCTION("""COMPUTED_VALUE"""),"HS Center 8")</f>
        <v>HS Center 8</v>
      </c>
      <c r="C15" s="1">
        <f>IFERROR(__xludf.DUMMYFUNCTION("""COMPUTED_VALUE"""),1044.0)</f>
        <v>1044</v>
      </c>
      <c r="D15" s="2">
        <f>IFERROR(__xludf.DUMMYFUNCTION("""COMPUTED_VALUE"""),0.46111111111111114)</f>
        <v>0.4611111111</v>
      </c>
      <c r="E15" s="1"/>
      <c r="F15" s="1" t="str">
        <f>IFERROR(__xludf.DUMMYFUNCTION("""COMPUTED_VALUE"""),"BREAK")</f>
        <v>BREAK</v>
      </c>
      <c r="G15" s="1"/>
    </row>
    <row r="16">
      <c r="A16" s="1" t="str">
        <f>IFERROR(__xludf.DUMMYFUNCTION("""COMPUTED_VALUE"""),"GI")</f>
        <v>GI</v>
      </c>
      <c r="B16" s="1" t="str">
        <f>IFERROR(__xludf.DUMMYFUNCTION("""COMPUTED_VALUE"""),"HS Center 8")</f>
        <v>HS Center 8</v>
      </c>
      <c r="C16" s="1">
        <f>IFERROR(__xludf.DUMMYFUNCTION("""COMPUTED_VALUE"""),1104.0)</f>
        <v>1104</v>
      </c>
      <c r="D16" s="2">
        <f>IFERROR(__xludf.DUMMYFUNCTION("""COMPUTED_VALUE"""),0.46111111111111114)</f>
        <v>0.4611111111</v>
      </c>
      <c r="E16" s="1">
        <f>IFERROR(__xludf.DUMMYFUNCTION("""COMPUTED_VALUE"""),1112.0)</f>
        <v>1112</v>
      </c>
      <c r="F16" s="1">
        <f>IFERROR(__xludf.DUMMYFUNCTION("""COMPUTED_VALUE"""),153.0)</f>
        <v>153</v>
      </c>
      <c r="G16" s="1" t="str">
        <f>IFERROR(__xludf.DUMMYFUNCTION("""COMPUTED_VALUE"""),"Levitt")</f>
        <v>Levitt</v>
      </c>
    </row>
    <row r="17">
      <c r="A17" s="1" t="str">
        <f>IFERROR(__xludf.DUMMYFUNCTION("""COMPUTED_VALUE"""),"GI")</f>
        <v>GI</v>
      </c>
      <c r="B17" s="1" t="str">
        <f>IFERROR(__xludf.DUMMYFUNCTION("""COMPUTED_VALUE"""),"HS Center 8")</f>
        <v>HS Center 8</v>
      </c>
      <c r="C17" s="1">
        <f>IFERROR(__xludf.DUMMYFUNCTION("""COMPUTED_VALUE"""),1116.0)</f>
        <v>1116</v>
      </c>
      <c r="D17" s="2">
        <f>IFERROR(__xludf.DUMMYFUNCTION("""COMPUTED_VALUE"""),0.46944444444444444)</f>
        <v>0.4694444444</v>
      </c>
      <c r="E17" s="1">
        <f>IFERROR(__xludf.DUMMYFUNCTION("""COMPUTED_VALUE"""),1124.0)</f>
        <v>1124</v>
      </c>
      <c r="F17" s="1">
        <f>IFERROR(__xludf.DUMMYFUNCTION("""COMPUTED_VALUE"""),812.0)</f>
        <v>812</v>
      </c>
      <c r="G17" s="1" t="str">
        <f>IFERROR(__xludf.DUMMYFUNCTION("""COMPUTED_VALUE"""),"Two Funny Girls")</f>
        <v>Two Funny Girls</v>
      </c>
    </row>
    <row r="18">
      <c r="A18" s="1" t="str">
        <f>IFERROR(__xludf.DUMMYFUNCTION("""COMPUTED_VALUE"""),"GI")</f>
        <v>GI</v>
      </c>
      <c r="B18" s="1" t="str">
        <f>IFERROR(__xludf.DUMMYFUNCTION("""COMPUTED_VALUE"""),"HS Center 8")</f>
        <v>HS Center 8</v>
      </c>
      <c r="C18" s="1">
        <f>IFERROR(__xludf.DUMMYFUNCTION("""COMPUTED_VALUE"""),1128.0)</f>
        <v>1128</v>
      </c>
      <c r="D18" s="2">
        <f>IFERROR(__xludf.DUMMYFUNCTION("""COMPUTED_VALUE"""),0.4777777777777778)</f>
        <v>0.4777777778</v>
      </c>
      <c r="E18" s="1">
        <f>IFERROR(__xludf.DUMMYFUNCTION("""COMPUTED_VALUE"""),1136.0)</f>
        <v>1136</v>
      </c>
      <c r="F18" s="1">
        <f>IFERROR(__xludf.DUMMYFUNCTION("""COMPUTED_VALUE"""),235.0)</f>
        <v>235</v>
      </c>
      <c r="G18" s="1" t="str">
        <f>IFERROR(__xludf.DUMMYFUNCTION("""COMPUTED_VALUE"""),"Two of US")</f>
        <v>Two of US</v>
      </c>
    </row>
    <row r="19">
      <c r="A19" s="1" t="str">
        <f>IFERROR(__xludf.DUMMYFUNCTION("""COMPUTED_VALUE"""),"GI")</f>
        <v>GI</v>
      </c>
      <c r="B19" s="1" t="str">
        <f>IFERROR(__xludf.DUMMYFUNCTION("""COMPUTED_VALUE"""),"HS Center 8")</f>
        <v>HS Center 8</v>
      </c>
      <c r="C19" s="1">
        <f>IFERROR(__xludf.DUMMYFUNCTION("""COMPUTED_VALUE"""),1140.0)</f>
        <v>1140</v>
      </c>
      <c r="D19" s="2">
        <f>IFERROR(__xludf.DUMMYFUNCTION("""COMPUTED_VALUE"""),0.4861111111111111)</f>
        <v>0.4861111111</v>
      </c>
      <c r="E19" s="1">
        <f>IFERROR(__xludf.DUMMYFUNCTION("""COMPUTED_VALUE"""),1148.0)</f>
        <v>1148</v>
      </c>
      <c r="F19" s="1">
        <f>IFERROR(__xludf.DUMMYFUNCTION("""COMPUTED_VALUE"""),868.0)</f>
        <v>868</v>
      </c>
      <c r="G19" s="1" t="str">
        <f>IFERROR(__xludf.DUMMYFUNCTION("""COMPUTED_VALUE"""),"Knock")</f>
        <v>Knock</v>
      </c>
    </row>
    <row r="20">
      <c r="A20" s="1" t="str">
        <f>IFERROR(__xludf.DUMMYFUNCTION("""COMPUTED_VALUE"""),"GI")</f>
        <v>GI</v>
      </c>
      <c r="B20" s="1" t="str">
        <f>IFERROR(__xludf.DUMMYFUNCTION("""COMPUTED_VALUE"""),"HS Center 8")</f>
        <v>HS Center 8</v>
      </c>
      <c r="C20" s="1">
        <f>IFERROR(__xludf.DUMMYFUNCTION("""COMPUTED_VALUE"""),1152.0)</f>
        <v>1152</v>
      </c>
      <c r="D20" s="2">
        <f>IFERROR(__xludf.DUMMYFUNCTION("""COMPUTED_VALUE"""),0.49444444444444446)</f>
        <v>0.4944444444</v>
      </c>
      <c r="E20" s="1">
        <f>IFERROR(__xludf.DUMMYFUNCTION("""COMPUTED_VALUE"""),1200.0)</f>
        <v>1200</v>
      </c>
      <c r="F20" s="1">
        <f>IFERROR(__xludf.DUMMYFUNCTION("""COMPUTED_VALUE"""),988.0)</f>
        <v>988</v>
      </c>
      <c r="G20" s="1" t="str">
        <f>IFERROR(__xludf.DUMMYFUNCTION("""COMPUTED_VALUE"""),"KMB")</f>
        <v>KMB</v>
      </c>
    </row>
    <row r="21">
      <c r="A21" s="1" t="str">
        <f>IFERROR(__xludf.DUMMYFUNCTION("""COMPUTED_VALUE"""),"GI")</f>
        <v>GI</v>
      </c>
      <c r="B21" s="1" t="str">
        <f>IFERROR(__xludf.DUMMYFUNCTION("""COMPUTED_VALUE"""),"HS Center 8")</f>
        <v>HS Center 8</v>
      </c>
      <c r="C21" s="1">
        <f>IFERROR(__xludf.DUMMYFUNCTION("""COMPUTED_VALUE"""),1204.0)</f>
        <v>1204</v>
      </c>
      <c r="D21" s="2">
        <f>IFERROR(__xludf.DUMMYFUNCTION("""COMPUTED_VALUE"""),0.5027777777777778)</f>
        <v>0.5027777778</v>
      </c>
      <c r="E21" s="1">
        <f>IFERROR(__xludf.DUMMYFUNCTION("""COMPUTED_VALUE"""),1212.0)</f>
        <v>1212</v>
      </c>
      <c r="F21" s="1">
        <f>IFERROR(__xludf.DUMMYFUNCTION("""COMPUTED_VALUE"""),633.0)</f>
        <v>633</v>
      </c>
      <c r="G21" s="1" t="str">
        <f>IFERROR(__xludf.DUMMYFUNCTION("""COMPUTED_VALUE"""),"Slimy Bread Yarn")</f>
        <v>Slimy Bread Yarn</v>
      </c>
    </row>
    <row r="22">
      <c r="A22" s="1" t="str">
        <f>IFERROR(__xludf.DUMMYFUNCTION("""COMPUTED_VALUE"""),"GI")</f>
        <v>GI</v>
      </c>
      <c r="B22" s="1" t="str">
        <f>IFERROR(__xludf.DUMMYFUNCTION("""COMPUTED_VALUE"""),"HS Center 8")</f>
        <v>HS Center 8</v>
      </c>
      <c r="C22" s="1">
        <f>IFERROR(__xludf.DUMMYFUNCTION("""COMPUTED_VALUE"""),1216.0)</f>
        <v>1216</v>
      </c>
      <c r="D22" s="2">
        <f>IFERROR(__xludf.DUMMYFUNCTION("""COMPUTED_VALUE"""),0.5111111111111111)</f>
        <v>0.5111111111</v>
      </c>
      <c r="E22" s="1"/>
      <c r="F22" s="1" t="str">
        <f>IFERROR(__xludf.DUMMYFUNCTION("""COMPUTED_VALUE"""),"BREAK")</f>
        <v>BREAK</v>
      </c>
      <c r="G22" s="1"/>
    </row>
    <row r="23">
      <c r="A23" s="1" t="str">
        <f>IFERROR(__xludf.DUMMYFUNCTION("""COMPUTED_VALUE"""),"GI")</f>
        <v>GI</v>
      </c>
      <c r="B23" s="1" t="str">
        <f>IFERROR(__xludf.DUMMYFUNCTION("""COMPUTED_VALUE"""),"HS Center 8")</f>
        <v>HS Center 8</v>
      </c>
      <c r="C23" s="1">
        <f>IFERROR(__xludf.DUMMYFUNCTION("""COMPUTED_VALUE"""),1306.0)</f>
        <v>1306</v>
      </c>
      <c r="D23" s="2">
        <f>IFERROR(__xludf.DUMMYFUNCTION("""COMPUTED_VALUE"""),0.5541666666666667)</f>
        <v>0.5541666667</v>
      </c>
      <c r="E23" s="1">
        <f>IFERROR(__xludf.DUMMYFUNCTION("""COMPUTED_VALUE"""),1314.0)</f>
        <v>1314</v>
      </c>
      <c r="F23" s="1">
        <f>IFERROR(__xludf.DUMMYFUNCTION("""COMPUTED_VALUE"""),949.0)</f>
        <v>949</v>
      </c>
      <c r="G23" s="1" t="str">
        <f>IFERROR(__xludf.DUMMYFUNCTION("""COMPUTED_VALUE"""),"Piggy")</f>
        <v>Piggy</v>
      </c>
    </row>
    <row r="24">
      <c r="A24" s="1" t="str">
        <f>IFERROR(__xludf.DUMMYFUNCTION("""COMPUTED_VALUE"""),"GI")</f>
        <v>GI</v>
      </c>
      <c r="B24" s="1" t="str">
        <f>IFERROR(__xludf.DUMMYFUNCTION("""COMPUTED_VALUE"""),"HS Center 8")</f>
        <v>HS Center 8</v>
      </c>
      <c r="C24" s="1">
        <f>IFERROR(__xludf.DUMMYFUNCTION("""COMPUTED_VALUE"""),1318.0)</f>
        <v>1318</v>
      </c>
      <c r="D24" s="2">
        <f>IFERROR(__xludf.DUMMYFUNCTION("""COMPUTED_VALUE"""),0.5541666666666667)</f>
        <v>0.5541666667</v>
      </c>
      <c r="E24" s="1">
        <f>IFERROR(__xludf.DUMMYFUNCTION("""COMPUTED_VALUE"""),1326.0)</f>
        <v>1326</v>
      </c>
      <c r="F24" s="1">
        <f>IFERROR(__xludf.DUMMYFUNCTION("""COMPUTED_VALUE"""),153.0)</f>
        <v>153</v>
      </c>
      <c r="G24" s="1" t="str">
        <f>IFERROR(__xludf.DUMMYFUNCTION("""COMPUTED_VALUE"""),"Faden")</f>
        <v>Faden</v>
      </c>
    </row>
    <row r="25">
      <c r="A25" s="1" t="str">
        <f>IFERROR(__xludf.DUMMYFUNCTION("""COMPUTED_VALUE"""),"GI")</f>
        <v>GI</v>
      </c>
      <c r="B25" s="1" t="str">
        <f>IFERROR(__xludf.DUMMYFUNCTION("""COMPUTED_VALUE"""),"HS Center 8")</f>
        <v>HS Center 8</v>
      </c>
      <c r="C25" s="1">
        <f>IFERROR(__xludf.DUMMYFUNCTION("""COMPUTED_VALUE"""),1330.0)</f>
        <v>1330</v>
      </c>
      <c r="D25" s="2">
        <f>IFERROR(__xludf.DUMMYFUNCTION("""COMPUTED_VALUE"""),0.5625)</f>
        <v>0.5625</v>
      </c>
      <c r="E25" s="1">
        <f>IFERROR(__xludf.DUMMYFUNCTION("""COMPUTED_VALUE"""),1338.0)</f>
        <v>1338</v>
      </c>
      <c r="F25" s="1">
        <f>IFERROR(__xludf.DUMMYFUNCTION("""COMPUTED_VALUE"""),759.0)</f>
        <v>759</v>
      </c>
      <c r="G25" s="1" t="str">
        <f>IFERROR(__xludf.DUMMYFUNCTION("""COMPUTED_VALUE"""),"Wickham")</f>
        <v>Wickham</v>
      </c>
    </row>
    <row r="26">
      <c r="A26" s="1" t="str">
        <f>IFERROR(__xludf.DUMMYFUNCTION("""COMPUTED_VALUE"""),"GI")</f>
        <v>GI</v>
      </c>
      <c r="B26" s="1" t="str">
        <f>IFERROR(__xludf.DUMMYFUNCTION("""COMPUTED_VALUE"""),"HS Center 8")</f>
        <v>HS Center 8</v>
      </c>
      <c r="C26" s="1">
        <f>IFERROR(__xludf.DUMMYFUNCTION("""COMPUTED_VALUE"""),1342.0)</f>
        <v>1342</v>
      </c>
      <c r="D26" s="2">
        <f>IFERROR(__xludf.DUMMYFUNCTION("""COMPUTED_VALUE"""),0.5708333333333333)</f>
        <v>0.5708333333</v>
      </c>
      <c r="E26" s="1">
        <f>IFERROR(__xludf.DUMMYFUNCTION("""COMPUTED_VALUE"""),1350.0)</f>
        <v>1350</v>
      </c>
      <c r="F26" s="1">
        <f>IFERROR(__xludf.DUMMYFUNCTION("""COMPUTED_VALUE"""),633.0)</f>
        <v>633</v>
      </c>
      <c r="G26" s="1" t="str">
        <f>IFERROR(__xludf.DUMMYFUNCTION("""COMPUTED_VALUE"""),"The Bridget Rockefeller Fan Club")</f>
        <v>The Bridget Rockefeller Fan Club</v>
      </c>
    </row>
    <row r="27">
      <c r="A27" s="1" t="str">
        <f>IFERROR(__xludf.DUMMYFUNCTION("""COMPUTED_VALUE"""),"GI")</f>
        <v>GI</v>
      </c>
      <c r="B27" s="1" t="str">
        <f>IFERROR(__xludf.DUMMYFUNCTION("""COMPUTED_VALUE"""),"HS Center 8")</f>
        <v>HS Center 8</v>
      </c>
      <c r="C27" s="1">
        <f>IFERROR(__xludf.DUMMYFUNCTION("""COMPUTED_VALUE"""),1354.0)</f>
        <v>1354</v>
      </c>
      <c r="D27" s="2">
        <f>IFERROR(__xludf.DUMMYFUNCTION("""COMPUTED_VALUE"""),0.5791666666666667)</f>
        <v>0.5791666667</v>
      </c>
      <c r="E27" s="1">
        <f>IFERROR(__xludf.DUMMYFUNCTION("""COMPUTED_VALUE"""),1402.0)</f>
        <v>1402</v>
      </c>
      <c r="F27" s="1">
        <f>IFERROR(__xludf.DUMMYFUNCTION("""COMPUTED_VALUE"""),983.0)</f>
        <v>983</v>
      </c>
      <c r="G27" s="1" t="str">
        <f>IFERROR(__xludf.DUMMYFUNCTION("""COMPUTED_VALUE"""),"Forcier, Kellison, Stuecker")</f>
        <v>Forcier, Kellison, Stuecker</v>
      </c>
    </row>
    <row r="28">
      <c r="A28" s="1" t="str">
        <f>IFERROR(__xludf.DUMMYFUNCTION("""COMPUTED_VALUE"""),"GI")</f>
        <v>GI</v>
      </c>
      <c r="B28" s="1" t="str">
        <f>IFERROR(__xludf.DUMMYFUNCTION("""COMPUTED_VALUE"""),"HS Center 8")</f>
        <v>HS Center 8</v>
      </c>
      <c r="C28" s="1">
        <f>IFERROR(__xludf.DUMMYFUNCTION("""COMPUTED_VALUE"""),1406.0)</f>
        <v>1406</v>
      </c>
      <c r="D28" s="2">
        <f>IFERROR(__xludf.DUMMYFUNCTION("""COMPUTED_VALUE"""),0.5875)</f>
        <v>0.5875</v>
      </c>
      <c r="E28" s="1">
        <f>IFERROR(__xludf.DUMMYFUNCTION("""COMPUTED_VALUE"""),1414.0)</f>
        <v>1414</v>
      </c>
      <c r="F28" s="1">
        <f>IFERROR(__xludf.DUMMYFUNCTION("""COMPUTED_VALUE"""),977.0)</f>
        <v>977</v>
      </c>
      <c r="G28" s="1" t="str">
        <f>IFERROR(__xludf.DUMMYFUNCTION("""COMPUTED_VALUE"""),"KEVS")</f>
        <v>KEVS</v>
      </c>
    </row>
  </sheetData>
  <drawing r:id="rId1"/>
</worksheet>
</file>